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bookViews>
    <workbookView xWindow="0" yWindow="0" windowWidth="19320" windowHeight="7752" tabRatio="831"/>
  </bookViews>
  <sheets>
    <sheet name="0.Ajuda" sheetId="8" r:id="rId1"/>
    <sheet name="1. Identificação Ben. Oper." sheetId="3" r:id="rId2"/>
    <sheet name="2. Medidas a).i)" sheetId="22" r:id="rId3"/>
    <sheet name="3. Medidas a).ii)" sheetId="20" r:id="rId4"/>
    <sheet name="4. Medidas a).iii) Sistemas" sheetId="21" r:id="rId5"/>
    <sheet name="5. Medidas a).iii) Iluminação" sheetId="23" r:id="rId6"/>
    <sheet name="6. Medidas a).iv)" sheetId="24" r:id="rId7"/>
    <sheet name="7. Medidas b).i)" sheetId="25" r:id="rId8"/>
    <sheet name="8. Medidas b).ii)" sheetId="26" r:id="rId9"/>
    <sheet name="9. Medidas c)" sheetId="28" r:id="rId10"/>
    <sheet name="10. Medidas d)" sheetId="18" r:id="rId11"/>
    <sheet name="11. Outras despesas art. 7º" sheetId="30" r:id="rId12"/>
    <sheet name="12.1 Apoio reembolsável" sheetId="5" r:id="rId13"/>
    <sheet name="12.2 Apoio não reembolsável" sheetId="34" r:id="rId14"/>
    <sheet name="13. Indicadores" sheetId="33" r:id="rId15"/>
    <sheet name="14. VAL Global até 25 anos" sheetId="4" r:id="rId16"/>
    <sheet name="15. Valores-Padrão" sheetId="29" r:id="rId17"/>
    <sheet name="16. Fatores de conversão" sheetId="19" r:id="rId18"/>
    <sheet name="Mérito Projeto Edifício" sheetId="35" r:id="rId19"/>
    <sheet name="Mérito Projeto IP" sheetId="36" r:id="rId20"/>
  </sheets>
  <definedNames>
    <definedName name="_xlnm.Print_Area" localSheetId="18">'Mérito Projeto Edifício'!$B$2:$L$28</definedName>
    <definedName name="POR_Centro">'16. Fatores de conversão'!$A$19:$B$24</definedName>
    <definedName name="Taxas_NãoReemb_Superior1M€">'16. Fatores de conversão'!$A$19:$B$24</definedName>
  </definedNames>
  <calcPr calcId="152511"/>
</workbook>
</file>

<file path=xl/calcChain.xml><?xml version="1.0" encoding="utf-8"?>
<calcChain xmlns="http://schemas.openxmlformats.org/spreadsheetml/2006/main">
  <c r="C21" i="36" l="1"/>
  <c r="C22" i="36"/>
  <c r="C22" i="35"/>
  <c r="C24" i="35" l="1"/>
  <c r="C24" i="36"/>
  <c r="F17" i="35" l="1"/>
  <c r="E17" i="35"/>
  <c r="G5" i="36"/>
  <c r="G8" i="36"/>
  <c r="G11" i="36"/>
  <c r="C23" i="36" s="1"/>
  <c r="C23" i="35"/>
  <c r="C21" i="35"/>
  <c r="C25" i="35" l="1"/>
  <c r="C26" i="36"/>
  <c r="G22" i="36"/>
  <c r="AA20" i="26" l="1"/>
  <c r="AA17" i="26"/>
  <c r="AA18" i="26"/>
  <c r="AA19" i="26"/>
  <c r="AA16" i="26"/>
  <c r="E2" i="36"/>
  <c r="E2" i="35"/>
  <c r="E8" i="36" l="1"/>
  <c r="C3" i="36"/>
  <c r="C4" i="36"/>
  <c r="C6" i="36"/>
  <c r="C7" i="36"/>
  <c r="C10" i="36"/>
  <c r="C12" i="36"/>
  <c r="C2" i="36"/>
  <c r="E8" i="35" l="1"/>
  <c r="C3" i="35"/>
  <c r="C4" i="35"/>
  <c r="C6" i="35"/>
  <c r="C7" i="35"/>
  <c r="C10" i="35"/>
  <c r="C12" i="35"/>
  <c r="C2" i="35"/>
  <c r="E10" i="33" l="1"/>
  <c r="I8" i="33" l="1"/>
  <c r="D8" i="33"/>
  <c r="E65" i="34" l="1"/>
  <c r="AH11" i="23" l="1"/>
  <c r="AH12" i="23"/>
  <c r="AH13" i="23"/>
  <c r="AH14" i="23"/>
  <c r="AH10" i="23"/>
  <c r="AC21" i="22" l="1"/>
  <c r="AB21" i="22"/>
  <c r="Q21" i="22"/>
  <c r="R21" i="22"/>
  <c r="S21" i="22"/>
  <c r="T21" i="22"/>
  <c r="U21" i="22"/>
  <c r="I21" i="22"/>
  <c r="J21" i="22"/>
  <c r="K21" i="22"/>
  <c r="L21" i="22"/>
  <c r="M21" i="22"/>
  <c r="Q20" i="21"/>
  <c r="R23" i="21"/>
  <c r="S23" i="21"/>
  <c r="T23" i="21"/>
  <c r="U23" i="21"/>
  <c r="V23" i="21"/>
  <c r="X22" i="28" l="1"/>
  <c r="X23" i="28"/>
  <c r="X24" i="28"/>
  <c r="X25" i="28"/>
  <c r="X21" i="28"/>
  <c r="X11" i="28"/>
  <c r="X12" i="28"/>
  <c r="X13" i="28"/>
  <c r="X14" i="28"/>
  <c r="X15" i="28"/>
  <c r="X16" i="28"/>
  <c r="X17" i="28"/>
  <c r="X18" i="28"/>
  <c r="X19" i="28"/>
  <c r="X10" i="28"/>
  <c r="Q22" i="28"/>
  <c r="Q23" i="28"/>
  <c r="Q24" i="28"/>
  <c r="Q25" i="28"/>
  <c r="Q21" i="28"/>
  <c r="Q11" i="28"/>
  <c r="Q12" i="28"/>
  <c r="Q13" i="28"/>
  <c r="Q14" i="28"/>
  <c r="Q15" i="28"/>
  <c r="Q16" i="28"/>
  <c r="Q17" i="28"/>
  <c r="Q18" i="28"/>
  <c r="Q19" i="28"/>
  <c r="Q10" i="28"/>
  <c r="D111" i="3"/>
  <c r="D107" i="3"/>
  <c r="D109" i="3"/>
  <c r="D108" i="3" l="1"/>
  <c r="AE60" i="28"/>
  <c r="AA60" i="28"/>
  <c r="W60" i="28"/>
  <c r="S60" i="28"/>
  <c r="O60" i="28"/>
  <c r="K60" i="28"/>
  <c r="AF58" i="28"/>
  <c r="AB58" i="28"/>
  <c r="X58" i="28"/>
  <c r="T58" i="28"/>
  <c r="P58" i="28"/>
  <c r="L58" i="28"/>
  <c r="AE57" i="28"/>
  <c r="AA57" i="28"/>
  <c r="W57" i="28"/>
  <c r="S57" i="28"/>
  <c r="O57" i="28"/>
  <c r="K57" i="28"/>
  <c r="AG56" i="28"/>
  <c r="Q56" i="28"/>
  <c r="AF42" i="28"/>
  <c r="AB42" i="28"/>
  <c r="X42" i="28"/>
  <c r="T42" i="28"/>
  <c r="P42" i="28"/>
  <c r="L42" i="28"/>
  <c r="F42" i="28"/>
  <c r="E42" i="28"/>
  <c r="C42" i="28"/>
  <c r="C60" i="28" s="1"/>
  <c r="F41" i="28"/>
  <c r="E41" i="28"/>
  <c r="C41" i="28"/>
  <c r="C59" i="28" s="1"/>
  <c r="AH40" i="28"/>
  <c r="AD40" i="28"/>
  <c r="Z40" i="28"/>
  <c r="V40" i="28"/>
  <c r="R40" i="28"/>
  <c r="N40" i="28"/>
  <c r="J40" i="28"/>
  <c r="F40" i="28"/>
  <c r="E40" i="28"/>
  <c r="C40" i="28"/>
  <c r="C58" i="28" s="1"/>
  <c r="AE39" i="28"/>
  <c r="AA39" i="28"/>
  <c r="W39" i="28"/>
  <c r="S39" i="28"/>
  <c r="O39" i="28"/>
  <c r="K39" i="28"/>
  <c r="F39" i="28"/>
  <c r="E39" i="28"/>
  <c r="C39" i="28"/>
  <c r="C57" i="28" s="1"/>
  <c r="T38" i="28"/>
  <c r="F38" i="28"/>
  <c r="E38" i="28"/>
  <c r="C38" i="28"/>
  <c r="C56" i="28" s="1"/>
  <c r="AJ18" i="28"/>
  <c r="AI18" i="28"/>
  <c r="AF18" i="28"/>
  <c r="Z18" i="28"/>
  <c r="AK18" i="28"/>
  <c r="W18" i="28"/>
  <c r="D60" i="28" s="1"/>
  <c r="G60" i="28" s="1"/>
  <c r="O18" i="28"/>
  <c r="Y18" i="28" s="1"/>
  <c r="I18" i="28"/>
  <c r="AH60" i="28" s="1"/>
  <c r="AJ17" i="28"/>
  <c r="AI17" i="28"/>
  <c r="AF17" i="28"/>
  <c r="Z17" i="28"/>
  <c r="AK17" i="28"/>
  <c r="W17" i="28"/>
  <c r="D59" i="28" s="1"/>
  <c r="G59" i="28" s="1"/>
  <c r="O17" i="28"/>
  <c r="Y17" i="28" s="1"/>
  <c r="I17" i="28"/>
  <c r="AG59" i="28" s="1"/>
  <c r="AJ16" i="28"/>
  <c r="AI16" i="28"/>
  <c r="AF16" i="28"/>
  <c r="Z16" i="28"/>
  <c r="AK16" i="28"/>
  <c r="W16" i="28"/>
  <c r="D58" i="28" s="1"/>
  <c r="G58" i="28" s="1"/>
  <c r="O16" i="28"/>
  <c r="Y16" i="28" s="1"/>
  <c r="I16" i="28"/>
  <c r="AE58" i="28" s="1"/>
  <c r="AJ15" i="28"/>
  <c r="AI15" i="28"/>
  <c r="AF15" i="28"/>
  <c r="Z15" i="28"/>
  <c r="AK15" i="28"/>
  <c r="W15" i="28"/>
  <c r="D57" i="28" s="1"/>
  <c r="G57" i="28" s="1"/>
  <c r="O15" i="28"/>
  <c r="Y15" i="28" s="1"/>
  <c r="I15" i="28"/>
  <c r="AH57" i="28" s="1"/>
  <c r="AJ14" i="28"/>
  <c r="AI14" i="28"/>
  <c r="AF14" i="28"/>
  <c r="Z14" i="28"/>
  <c r="AK14" i="28"/>
  <c r="W14" i="28"/>
  <c r="D56" i="28" s="1"/>
  <c r="G56" i="28" s="1"/>
  <c r="O14" i="28"/>
  <c r="Y14" i="28" s="1"/>
  <c r="I14" i="28"/>
  <c r="AF56" i="28" s="1"/>
  <c r="E5" i="36" l="1"/>
  <c r="X38" i="28"/>
  <c r="U56" i="28"/>
  <c r="L38" i="28"/>
  <c r="AB38" i="28"/>
  <c r="Y56" i="28"/>
  <c r="P38" i="28"/>
  <c r="AF38" i="28"/>
  <c r="M56" i="28"/>
  <c r="AC56" i="28"/>
  <c r="D39" i="28"/>
  <c r="G39" i="28" s="1"/>
  <c r="M41" i="28"/>
  <c r="Y41" i="28"/>
  <c r="AC41" i="28"/>
  <c r="AG41" i="28"/>
  <c r="N59" i="28"/>
  <c r="R59" i="28"/>
  <c r="V59" i="28"/>
  <c r="Z59" i="28"/>
  <c r="AD59" i="28"/>
  <c r="AH59" i="28"/>
  <c r="Q41" i="28"/>
  <c r="M38" i="28"/>
  <c r="Q38" i="28"/>
  <c r="U38" i="28"/>
  <c r="Y38" i="28"/>
  <c r="AC38" i="28"/>
  <c r="AG38" i="28"/>
  <c r="L39" i="28"/>
  <c r="P39" i="28"/>
  <c r="T39" i="28"/>
  <c r="X39" i="28"/>
  <c r="AB39" i="28"/>
  <c r="AF39" i="28"/>
  <c r="D40" i="28"/>
  <c r="K40" i="28"/>
  <c r="O40" i="28"/>
  <c r="S40" i="28"/>
  <c r="W40" i="28"/>
  <c r="AA40" i="28"/>
  <c r="AE40" i="28"/>
  <c r="J41" i="28"/>
  <c r="N41" i="28"/>
  <c r="R41" i="28"/>
  <c r="V41" i="28"/>
  <c r="Z41" i="28"/>
  <c r="AD41" i="28"/>
  <c r="AH41" i="28"/>
  <c r="M42" i="28"/>
  <c r="Q42" i="28"/>
  <c r="U42" i="28"/>
  <c r="Y42" i="28"/>
  <c r="AC42" i="28"/>
  <c r="AG42" i="28"/>
  <c r="J56" i="28"/>
  <c r="N56" i="28"/>
  <c r="R56" i="28"/>
  <c r="V56" i="28"/>
  <c r="Z56" i="28"/>
  <c r="AD56" i="28"/>
  <c r="AH56" i="28"/>
  <c r="L57" i="28"/>
  <c r="P57" i="28"/>
  <c r="T57" i="28"/>
  <c r="X57" i="28"/>
  <c r="AB57" i="28"/>
  <c r="AF57" i="28"/>
  <c r="M58" i="28"/>
  <c r="Q58" i="28"/>
  <c r="U58" i="28"/>
  <c r="Y58" i="28"/>
  <c r="AC58" i="28"/>
  <c r="AG58" i="28"/>
  <c r="K59" i="28"/>
  <c r="O59" i="28"/>
  <c r="S59" i="28"/>
  <c r="W59" i="28"/>
  <c r="AA59" i="28"/>
  <c r="AE59" i="28"/>
  <c r="L60" i="28"/>
  <c r="P60" i="28"/>
  <c r="T60" i="28"/>
  <c r="X60" i="28"/>
  <c r="AB60" i="28"/>
  <c r="AF60" i="28"/>
  <c r="U41" i="28"/>
  <c r="J59" i="28"/>
  <c r="J38" i="28"/>
  <c r="N38" i="28"/>
  <c r="R38" i="28"/>
  <c r="V38" i="28"/>
  <c r="Z38" i="28"/>
  <c r="AD38" i="28"/>
  <c r="AH38" i="28"/>
  <c r="M39" i="28"/>
  <c r="Q39" i="28"/>
  <c r="U39" i="28"/>
  <c r="Y39" i="28"/>
  <c r="AC39" i="28"/>
  <c r="AG39" i="28"/>
  <c r="G40" i="28"/>
  <c r="L40" i="28"/>
  <c r="P40" i="28"/>
  <c r="T40" i="28"/>
  <c r="X40" i="28"/>
  <c r="AB40" i="28"/>
  <c r="AF40" i="28"/>
  <c r="D41" i="28"/>
  <c r="G41" i="28" s="1"/>
  <c r="K41" i="28"/>
  <c r="O41" i="28"/>
  <c r="S41" i="28"/>
  <c r="W41" i="28"/>
  <c r="AA41" i="28"/>
  <c r="AE41" i="28"/>
  <c r="J42" i="28"/>
  <c r="N42" i="28"/>
  <c r="R42" i="28"/>
  <c r="V42" i="28"/>
  <c r="Z42" i="28"/>
  <c r="AD42" i="28"/>
  <c r="AH42" i="28"/>
  <c r="K56" i="28"/>
  <c r="O56" i="28"/>
  <c r="S56" i="28"/>
  <c r="W56" i="28"/>
  <c r="AA56" i="28"/>
  <c r="AE56" i="28"/>
  <c r="M57" i="28"/>
  <c r="Q57" i="28"/>
  <c r="U57" i="28"/>
  <c r="Y57" i="28"/>
  <c r="AC57" i="28"/>
  <c r="AG57" i="28"/>
  <c r="J58" i="28"/>
  <c r="N58" i="28"/>
  <c r="R58" i="28"/>
  <c r="V58" i="28"/>
  <c r="Z58" i="28"/>
  <c r="AD58" i="28"/>
  <c r="AH58" i="28"/>
  <c r="L59" i="28"/>
  <c r="P59" i="28"/>
  <c r="T59" i="28"/>
  <c r="X59" i="28"/>
  <c r="AB59" i="28"/>
  <c r="AF59" i="28"/>
  <c r="M60" i="28"/>
  <c r="Q60" i="28"/>
  <c r="U60" i="28"/>
  <c r="Y60" i="28"/>
  <c r="AC60" i="28"/>
  <c r="AG60" i="28"/>
  <c r="D38" i="28"/>
  <c r="G38" i="28" s="1"/>
  <c r="K38" i="28"/>
  <c r="O38" i="28"/>
  <c r="S38" i="28"/>
  <c r="W38" i="28"/>
  <c r="AA38" i="28"/>
  <c r="AE38" i="28"/>
  <c r="J39" i="28"/>
  <c r="N39" i="28"/>
  <c r="R39" i="28"/>
  <c r="V39" i="28"/>
  <c r="Z39" i="28"/>
  <c r="AD39" i="28"/>
  <c r="AH39" i="28"/>
  <c r="M40" i="28"/>
  <c r="Q40" i="28"/>
  <c r="U40" i="28"/>
  <c r="Y40" i="28"/>
  <c r="AC40" i="28"/>
  <c r="AG40" i="28"/>
  <c r="L41" i="28"/>
  <c r="P41" i="28"/>
  <c r="T41" i="28"/>
  <c r="X41" i="28"/>
  <c r="AB41" i="28"/>
  <c r="AF41" i="28"/>
  <c r="D42" i="28"/>
  <c r="G42" i="28" s="1"/>
  <c r="K42" i="28"/>
  <c r="O42" i="28"/>
  <c r="S42" i="28"/>
  <c r="W42" i="28"/>
  <c r="AA42" i="28"/>
  <c r="AE42" i="28"/>
  <c r="L56" i="28"/>
  <c r="P56" i="28"/>
  <c r="T56" i="28"/>
  <c r="X56" i="28"/>
  <c r="AB56" i="28"/>
  <c r="J57" i="28"/>
  <c r="N57" i="28"/>
  <c r="R57" i="28"/>
  <c r="V57" i="28"/>
  <c r="Z57" i="28"/>
  <c r="AD57" i="28"/>
  <c r="K58" i="28"/>
  <c r="O58" i="28"/>
  <c r="S58" i="28"/>
  <c r="W58" i="28"/>
  <c r="AA58" i="28"/>
  <c r="M59" i="28"/>
  <c r="Q59" i="28"/>
  <c r="U59" i="28"/>
  <c r="Y59" i="28"/>
  <c r="AC59" i="28"/>
  <c r="J60" i="28"/>
  <c r="N60" i="28"/>
  <c r="R60" i="28"/>
  <c r="V60" i="28"/>
  <c r="Z60" i="28"/>
  <c r="AD60" i="28"/>
  <c r="AH66" i="28"/>
  <c r="AG66" i="28"/>
  <c r="AF66" i="28"/>
  <c r="AE66" i="28"/>
  <c r="AD66" i="28"/>
  <c r="AC66" i="28"/>
  <c r="AB66" i="28"/>
  <c r="AA66" i="28"/>
  <c r="Z66" i="28"/>
  <c r="Y66" i="28"/>
  <c r="X66" i="28"/>
  <c r="W66" i="28"/>
  <c r="V66" i="28"/>
  <c r="U66" i="28"/>
  <c r="T66" i="28"/>
  <c r="S66" i="28"/>
  <c r="R66" i="28"/>
  <c r="Q66" i="28"/>
  <c r="P66" i="28"/>
  <c r="O66" i="28"/>
  <c r="N66" i="28"/>
  <c r="M66" i="28"/>
  <c r="L66" i="28"/>
  <c r="K66" i="28"/>
  <c r="J66" i="28"/>
  <c r="AH65" i="28"/>
  <c r="AG65" i="28"/>
  <c r="AF65" i="28"/>
  <c r="AE65" i="28"/>
  <c r="AD65" i="28"/>
  <c r="AC65" i="28"/>
  <c r="AB65" i="28"/>
  <c r="AA65" i="28"/>
  <c r="Z65" i="28"/>
  <c r="Y65" i="28"/>
  <c r="X65" i="28"/>
  <c r="W65" i="28"/>
  <c r="V65" i="28"/>
  <c r="U65" i="28"/>
  <c r="T65" i="28"/>
  <c r="S65" i="28"/>
  <c r="R65" i="28"/>
  <c r="Q65" i="28"/>
  <c r="P65" i="28"/>
  <c r="O65" i="28"/>
  <c r="N65" i="28"/>
  <c r="M65" i="28"/>
  <c r="L65" i="28"/>
  <c r="K65" i="28"/>
  <c r="J65" i="28"/>
  <c r="AH64" i="28"/>
  <c r="AG64" i="28"/>
  <c r="AF64" i="28"/>
  <c r="AE64" i="28"/>
  <c r="AD64" i="28"/>
  <c r="AC64" i="28"/>
  <c r="AB64" i="28"/>
  <c r="AA64" i="28"/>
  <c r="Z64" i="28"/>
  <c r="Y64" i="28"/>
  <c r="X64" i="28"/>
  <c r="W64" i="28"/>
  <c r="V64" i="28"/>
  <c r="U64" i="28"/>
  <c r="T64" i="28"/>
  <c r="S64" i="28"/>
  <c r="R64" i="28"/>
  <c r="Q64" i="28"/>
  <c r="P64" i="28"/>
  <c r="O64" i="28"/>
  <c r="N64" i="28"/>
  <c r="M64" i="28"/>
  <c r="L64" i="28"/>
  <c r="K64" i="28"/>
  <c r="J64" i="28"/>
  <c r="AH63" i="28"/>
  <c r="AG63" i="28"/>
  <c r="AF63" i="28"/>
  <c r="AE63" i="28"/>
  <c r="AD63" i="28"/>
  <c r="AC63" i="28"/>
  <c r="AB63" i="28"/>
  <c r="AA63" i="28"/>
  <c r="Z63" i="28"/>
  <c r="Y63" i="28"/>
  <c r="X63" i="28"/>
  <c r="W63" i="28"/>
  <c r="V63" i="28"/>
  <c r="U63" i="28"/>
  <c r="T63" i="28"/>
  <c r="S63" i="28"/>
  <c r="R63" i="28"/>
  <c r="Q63" i="28"/>
  <c r="P63" i="28"/>
  <c r="O63" i="28"/>
  <c r="N63" i="28"/>
  <c r="M63" i="28"/>
  <c r="L63" i="28"/>
  <c r="K63" i="28"/>
  <c r="J63" i="28"/>
  <c r="AH62" i="28"/>
  <c r="AG62" i="28"/>
  <c r="AF62" i="28"/>
  <c r="AE62" i="28"/>
  <c r="AD62" i="28"/>
  <c r="AC62" i="28"/>
  <c r="AB62" i="28"/>
  <c r="AA62" i="28"/>
  <c r="Z62" i="28"/>
  <c r="Y62" i="28"/>
  <c r="X62" i="28"/>
  <c r="W62" i="28"/>
  <c r="V62" i="28"/>
  <c r="U62" i="28"/>
  <c r="T62" i="28"/>
  <c r="S62" i="28"/>
  <c r="R62" i="28"/>
  <c r="Q62" i="28"/>
  <c r="P62" i="28"/>
  <c r="O62" i="28"/>
  <c r="N62" i="28"/>
  <c r="M62" i="28"/>
  <c r="L62" i="28"/>
  <c r="K62" i="28"/>
  <c r="J62" i="28"/>
  <c r="AH48" i="28"/>
  <c r="AG48" i="28"/>
  <c r="AF48" i="28"/>
  <c r="AE48" i="28"/>
  <c r="AD48" i="28"/>
  <c r="AC48" i="28"/>
  <c r="AB48" i="28"/>
  <c r="AA48" i="28"/>
  <c r="Z48" i="28"/>
  <c r="Y48" i="28"/>
  <c r="X48" i="28"/>
  <c r="W48" i="28"/>
  <c r="V48" i="28"/>
  <c r="U48" i="28"/>
  <c r="T48" i="28"/>
  <c r="S48" i="28"/>
  <c r="R48" i="28"/>
  <c r="Q48" i="28"/>
  <c r="P48" i="28"/>
  <c r="O48" i="28"/>
  <c r="N48" i="28"/>
  <c r="M48" i="28"/>
  <c r="L48" i="28"/>
  <c r="K48" i="28"/>
  <c r="J48" i="28"/>
  <c r="AH47" i="28"/>
  <c r="AG47" i="28"/>
  <c r="AF47" i="28"/>
  <c r="AE47" i="28"/>
  <c r="AD47" i="28"/>
  <c r="AC47" i="28"/>
  <c r="AB47" i="28"/>
  <c r="AA47" i="28"/>
  <c r="Z47" i="28"/>
  <c r="Y47" i="28"/>
  <c r="X47" i="28"/>
  <c r="W47" i="28"/>
  <c r="V47" i="28"/>
  <c r="U47" i="28"/>
  <c r="T47" i="28"/>
  <c r="S47" i="28"/>
  <c r="R47" i="28"/>
  <c r="Q47" i="28"/>
  <c r="P47" i="28"/>
  <c r="O47" i="28"/>
  <c r="N47" i="28"/>
  <c r="M47" i="28"/>
  <c r="L47" i="28"/>
  <c r="K47" i="28"/>
  <c r="J47" i="28"/>
  <c r="AH46" i="28"/>
  <c r="AG46" i="28"/>
  <c r="AF46" i="28"/>
  <c r="AE46" i="28"/>
  <c r="AD46" i="28"/>
  <c r="AC46" i="28"/>
  <c r="AB46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O46" i="28"/>
  <c r="N46" i="28"/>
  <c r="M46" i="28"/>
  <c r="L46" i="28"/>
  <c r="K46" i="28"/>
  <c r="J46" i="28"/>
  <c r="AH45" i="28"/>
  <c r="AG45" i="28"/>
  <c r="AF45" i="28"/>
  <c r="AE45" i="28"/>
  <c r="AD45" i="28"/>
  <c r="AC45" i="28"/>
  <c r="AB45" i="28"/>
  <c r="AA45" i="28"/>
  <c r="Z45" i="28"/>
  <c r="Y45" i="28"/>
  <c r="X45" i="28"/>
  <c r="W45" i="28"/>
  <c r="V45" i="28"/>
  <c r="U45" i="28"/>
  <c r="T45" i="28"/>
  <c r="S45" i="28"/>
  <c r="R45" i="28"/>
  <c r="Q45" i="28"/>
  <c r="P45" i="28"/>
  <c r="O45" i="28"/>
  <c r="N45" i="28"/>
  <c r="M45" i="28"/>
  <c r="L45" i="28"/>
  <c r="K45" i="28"/>
  <c r="J45" i="28"/>
  <c r="AH44" i="28"/>
  <c r="AG44" i="28"/>
  <c r="AF44" i="28"/>
  <c r="AE44" i="28"/>
  <c r="AD44" i="28"/>
  <c r="AC44" i="28"/>
  <c r="AB44" i="28"/>
  <c r="AA44" i="28"/>
  <c r="Z44" i="28"/>
  <c r="Y44" i="28"/>
  <c r="X44" i="28"/>
  <c r="W44" i="28"/>
  <c r="V44" i="28"/>
  <c r="U44" i="28"/>
  <c r="T44" i="28"/>
  <c r="S44" i="28"/>
  <c r="R44" i="28"/>
  <c r="Q44" i="28"/>
  <c r="P44" i="28"/>
  <c r="O44" i="28"/>
  <c r="N44" i="28"/>
  <c r="M44" i="28"/>
  <c r="L44" i="28"/>
  <c r="K44" i="28"/>
  <c r="J44" i="28"/>
  <c r="AI39" i="28" l="1"/>
  <c r="AI40" i="28"/>
  <c r="AI58" i="28"/>
  <c r="AI60" i="28"/>
  <c r="AI57" i="28"/>
  <c r="AI42" i="28"/>
  <c r="AI59" i="28"/>
  <c r="AI38" i="28"/>
  <c r="AI56" i="28"/>
  <c r="AI41" i="28"/>
  <c r="F58" i="5"/>
  <c r="F60" i="34"/>
  <c r="F57" i="5"/>
  <c r="G11" i="18" l="1"/>
  <c r="A14" i="19"/>
  <c r="Y10" i="26"/>
  <c r="Y11" i="26"/>
  <c r="Y12" i="26"/>
  <c r="Y13" i="26"/>
  <c r="Y14" i="26"/>
  <c r="Y16" i="26"/>
  <c r="Y17" i="26"/>
  <c r="Y18" i="26"/>
  <c r="Y19" i="26"/>
  <c r="Y20" i="26"/>
  <c r="Z11" i="28"/>
  <c r="Z12" i="28"/>
  <c r="Z13" i="28"/>
  <c r="Z19" i="28"/>
  <c r="Z21" i="28"/>
  <c r="Z22" i="28"/>
  <c r="Z23" i="28"/>
  <c r="Z24" i="28"/>
  <c r="Z25" i="28"/>
  <c r="M11" i="18"/>
  <c r="AF16" i="21"/>
  <c r="K34" i="21" s="1"/>
  <c r="M34" i="21"/>
  <c r="U34" i="21"/>
  <c r="AC34" i="21"/>
  <c r="AJ10" i="25"/>
  <c r="AJ11" i="25"/>
  <c r="AJ12" i="25"/>
  <c r="AI10" i="22"/>
  <c r="AI10" i="23"/>
  <c r="AI10" i="26"/>
  <c r="I10" i="25"/>
  <c r="AF10" i="25"/>
  <c r="H10" i="22"/>
  <c r="AE10" i="22"/>
  <c r="H10" i="20"/>
  <c r="AE10" i="20"/>
  <c r="H10" i="23"/>
  <c r="AE10" i="23"/>
  <c r="H10" i="26"/>
  <c r="AE10" i="26"/>
  <c r="E66" i="34"/>
  <c r="E67" i="34"/>
  <c r="E68" i="34"/>
  <c r="AI10" i="25"/>
  <c r="AI21" i="25" s="1"/>
  <c r="D52" i="3"/>
  <c r="D53" i="3" s="1"/>
  <c r="AH10" i="22"/>
  <c r="AI11" i="22"/>
  <c r="AI12" i="22"/>
  <c r="AI13" i="22"/>
  <c r="AI14" i="22"/>
  <c r="AI16" i="22"/>
  <c r="AI17" i="22"/>
  <c r="AI18" i="22"/>
  <c r="AH10" i="20"/>
  <c r="AH21" i="20" s="1"/>
  <c r="AI11" i="20"/>
  <c r="AI12" i="20"/>
  <c r="AI13" i="20"/>
  <c r="AI14" i="20"/>
  <c r="AI16" i="20"/>
  <c r="AI17" i="20"/>
  <c r="AI18" i="20"/>
  <c r="AI19" i="20"/>
  <c r="AI20" i="20"/>
  <c r="AJ10" i="21"/>
  <c r="AJ11" i="21"/>
  <c r="AJ12" i="21"/>
  <c r="AJ13" i="21"/>
  <c r="AJ15" i="21"/>
  <c r="AJ16" i="21"/>
  <c r="AJ17" i="21"/>
  <c r="AJ19" i="21"/>
  <c r="AJ20" i="21"/>
  <c r="AI11" i="23"/>
  <c r="AI12" i="23"/>
  <c r="AI13" i="23"/>
  <c r="AI14" i="23"/>
  <c r="AI16" i="23"/>
  <c r="AI17" i="23"/>
  <c r="AI18" i="23"/>
  <c r="AI19" i="23"/>
  <c r="AI20" i="23"/>
  <c r="AH10" i="24"/>
  <c r="AH11" i="24"/>
  <c r="AH12" i="24"/>
  <c r="AH13" i="24"/>
  <c r="AH14" i="24"/>
  <c r="AH15" i="24"/>
  <c r="AH16" i="24"/>
  <c r="AH17" i="24"/>
  <c r="AH18" i="24"/>
  <c r="AH19" i="24"/>
  <c r="AI11" i="25"/>
  <c r="AJ14" i="25"/>
  <c r="AJ15" i="25"/>
  <c r="AJ16" i="25"/>
  <c r="AJ17" i="25"/>
  <c r="AJ18" i="25"/>
  <c r="AJ19" i="25"/>
  <c r="AJ20" i="25"/>
  <c r="AH10" i="26"/>
  <c r="AH21" i="26" s="1"/>
  <c r="AI11" i="26"/>
  <c r="AI12" i="26"/>
  <c r="AI13" i="26"/>
  <c r="AI14" i="26"/>
  <c r="AI16" i="26"/>
  <c r="AI17" i="26"/>
  <c r="AI18" i="26"/>
  <c r="AI19" i="26"/>
  <c r="AI20" i="26"/>
  <c r="J11" i="18"/>
  <c r="K11" i="18"/>
  <c r="M12" i="18"/>
  <c r="M13" i="18"/>
  <c r="M15" i="18"/>
  <c r="M16" i="18"/>
  <c r="M17" i="18"/>
  <c r="I11" i="30"/>
  <c r="I12" i="30"/>
  <c r="I13" i="30"/>
  <c r="I14" i="30"/>
  <c r="I15" i="30"/>
  <c r="I16" i="30"/>
  <c r="I17" i="30"/>
  <c r="I18" i="30"/>
  <c r="I19" i="30"/>
  <c r="I20" i="30"/>
  <c r="AJ19" i="28"/>
  <c r="AJ21" i="28"/>
  <c r="AJ22" i="28"/>
  <c r="AJ23" i="28"/>
  <c r="AJ24" i="28"/>
  <c r="AJ25" i="28"/>
  <c r="AF21" i="22"/>
  <c r="AG21" i="22"/>
  <c r="AF21" i="20"/>
  <c r="E22" i="20" s="1"/>
  <c r="AG21" i="20"/>
  <c r="AG21" i="21"/>
  <c r="AH21" i="21"/>
  <c r="AF21" i="23"/>
  <c r="AG21" i="23"/>
  <c r="AF20" i="24"/>
  <c r="AG20" i="24"/>
  <c r="E22" i="24"/>
  <c r="AG21" i="25"/>
  <c r="E22" i="25" s="1"/>
  <c r="AH21" i="25"/>
  <c r="AF21" i="26"/>
  <c r="E22" i="26" s="1"/>
  <c r="AG21" i="26"/>
  <c r="AG26" i="28"/>
  <c r="AH26" i="28"/>
  <c r="H18" i="18"/>
  <c r="I18" i="18"/>
  <c r="F19" i="18"/>
  <c r="W10" i="22"/>
  <c r="D29" i="22" s="1"/>
  <c r="E29" i="22"/>
  <c r="F29" i="22"/>
  <c r="H11" i="22"/>
  <c r="W11" i="22"/>
  <c r="D30" i="22" s="1"/>
  <c r="E30" i="22"/>
  <c r="AE11" i="22"/>
  <c r="H12" i="22"/>
  <c r="W12" i="22"/>
  <c r="D31" i="22" s="1"/>
  <c r="E31" i="22"/>
  <c r="AE12" i="22"/>
  <c r="H13" i="22"/>
  <c r="W13" i="22"/>
  <c r="D32" i="22" s="1"/>
  <c r="E32" i="22"/>
  <c r="AE13" i="22"/>
  <c r="H14" i="22"/>
  <c r="W14" i="22"/>
  <c r="D33" i="22" s="1"/>
  <c r="E33" i="22"/>
  <c r="AE14" i="22"/>
  <c r="F34" i="22"/>
  <c r="AE16" i="22"/>
  <c r="F35" i="22"/>
  <c r="AE17" i="22"/>
  <c r="K35" i="22" s="1"/>
  <c r="F36" i="22"/>
  <c r="AE18" i="22"/>
  <c r="AF36" i="22" s="1"/>
  <c r="W10" i="20"/>
  <c r="D29" i="20" s="1"/>
  <c r="G29" i="20" s="1"/>
  <c r="E29" i="20"/>
  <c r="F29" i="20"/>
  <c r="H11" i="20"/>
  <c r="W11" i="20"/>
  <c r="D30" i="20" s="1"/>
  <c r="G30" i="20" s="1"/>
  <c r="E30" i="20"/>
  <c r="AE11" i="20"/>
  <c r="H12" i="20"/>
  <c r="W12" i="20"/>
  <c r="D31" i="20" s="1"/>
  <c r="E31" i="20"/>
  <c r="AE12" i="20"/>
  <c r="H13" i="20"/>
  <c r="W13" i="20"/>
  <c r="D32" i="20" s="1"/>
  <c r="G32" i="20" s="1"/>
  <c r="E32" i="20"/>
  <c r="AE13" i="20"/>
  <c r="H14" i="20"/>
  <c r="W14" i="20"/>
  <c r="D33" i="20" s="1"/>
  <c r="G33" i="20" s="1"/>
  <c r="W33" i="20" s="1"/>
  <c r="E33" i="20"/>
  <c r="AE14" i="20"/>
  <c r="F34" i="20"/>
  <c r="AE16" i="20"/>
  <c r="I34" i="20"/>
  <c r="F35" i="20"/>
  <c r="AE17" i="20"/>
  <c r="I35" i="20"/>
  <c r="F36" i="20"/>
  <c r="AE18" i="20"/>
  <c r="I36" i="20" s="1"/>
  <c r="F37" i="20"/>
  <c r="AE19" i="20"/>
  <c r="F38" i="20"/>
  <c r="AE20" i="20"/>
  <c r="I38" i="20"/>
  <c r="I10" i="21"/>
  <c r="X10" i="21"/>
  <c r="D29" i="21" s="1"/>
  <c r="E29" i="21"/>
  <c r="AF10" i="21"/>
  <c r="I11" i="21"/>
  <c r="X11" i="21"/>
  <c r="D30" i="21" s="1"/>
  <c r="E30" i="21"/>
  <c r="AF11" i="21"/>
  <c r="I12" i="21"/>
  <c r="X12" i="21"/>
  <c r="D31" i="21" s="1"/>
  <c r="E31" i="21"/>
  <c r="AF12" i="21"/>
  <c r="I13" i="21"/>
  <c r="X13" i="21"/>
  <c r="D32" i="21" s="1"/>
  <c r="E32" i="21"/>
  <c r="AF13" i="21"/>
  <c r="X15" i="21"/>
  <c r="D33" i="21" s="1"/>
  <c r="E33" i="21"/>
  <c r="AF15" i="21"/>
  <c r="X16" i="21"/>
  <c r="D34" i="21" s="1"/>
  <c r="E34" i="21"/>
  <c r="F34" i="21"/>
  <c r="F35" i="21"/>
  <c r="AF17" i="21"/>
  <c r="J35" i="21" s="1"/>
  <c r="F36" i="21"/>
  <c r="AF19" i="21"/>
  <c r="F37" i="21"/>
  <c r="AF20" i="21"/>
  <c r="K37" i="21" s="1"/>
  <c r="W10" i="23"/>
  <c r="D29" i="23" s="1"/>
  <c r="E29" i="23"/>
  <c r="F29" i="23"/>
  <c r="H11" i="23"/>
  <c r="W11" i="23"/>
  <c r="D30" i="23" s="1"/>
  <c r="G30" i="23" s="1"/>
  <c r="E30" i="23"/>
  <c r="AE11" i="23"/>
  <c r="H12" i="23"/>
  <c r="W12" i="23"/>
  <c r="D31" i="23" s="1"/>
  <c r="G31" i="23" s="1"/>
  <c r="E31" i="23"/>
  <c r="AE12" i="23"/>
  <c r="H13" i="23"/>
  <c r="W13" i="23"/>
  <c r="D32" i="23" s="1"/>
  <c r="E32" i="23"/>
  <c r="AE13" i="23"/>
  <c r="H14" i="23"/>
  <c r="W14" i="23"/>
  <c r="D33" i="23" s="1"/>
  <c r="G33" i="23" s="1"/>
  <c r="E33" i="23"/>
  <c r="AE14" i="23"/>
  <c r="F34" i="23"/>
  <c r="AE16" i="23"/>
  <c r="F35" i="23"/>
  <c r="AE17" i="23"/>
  <c r="I35" i="23"/>
  <c r="F36" i="23"/>
  <c r="AE18" i="23"/>
  <c r="I36" i="23" s="1"/>
  <c r="F37" i="23"/>
  <c r="I37" i="23" s="1"/>
  <c r="AE19" i="23"/>
  <c r="F38" i="23"/>
  <c r="AE20" i="23"/>
  <c r="AE10" i="24"/>
  <c r="I29" i="24" s="1"/>
  <c r="AE11" i="24"/>
  <c r="AE12" i="24"/>
  <c r="J31" i="24" s="1"/>
  <c r="AE13" i="24"/>
  <c r="AE14" i="24"/>
  <c r="I33" i="24" s="1"/>
  <c r="AE15" i="24"/>
  <c r="AE16" i="24"/>
  <c r="J35" i="24" s="1"/>
  <c r="AE17" i="24"/>
  <c r="AE18" i="24"/>
  <c r="I37" i="24" s="1"/>
  <c r="AE19" i="24"/>
  <c r="X10" i="25"/>
  <c r="AK10" i="25" s="1"/>
  <c r="E29" i="25"/>
  <c r="F29" i="25"/>
  <c r="F30" i="25"/>
  <c r="F31" i="25"/>
  <c r="F32" i="25"/>
  <c r="J32" i="25" s="1"/>
  <c r="AF14" i="25"/>
  <c r="F33" i="25"/>
  <c r="AF15" i="25"/>
  <c r="F34" i="25"/>
  <c r="AF16" i="25"/>
  <c r="J34" i="25"/>
  <c r="F35" i="25"/>
  <c r="AF17" i="25"/>
  <c r="K35" i="25" s="1"/>
  <c r="F36" i="25"/>
  <c r="J36" i="25" s="1"/>
  <c r="AF18" i="25"/>
  <c r="F37" i="25"/>
  <c r="AF19" i="25"/>
  <c r="F38" i="25"/>
  <c r="AF20" i="25"/>
  <c r="J38" i="25"/>
  <c r="W10" i="26"/>
  <c r="D29" i="26" s="1"/>
  <c r="G29" i="26" s="1"/>
  <c r="E29" i="26"/>
  <c r="F29" i="26"/>
  <c r="H11" i="26"/>
  <c r="W11" i="26"/>
  <c r="D30" i="26" s="1"/>
  <c r="G30" i="26" s="1"/>
  <c r="E30" i="26"/>
  <c r="AE11" i="26"/>
  <c r="H12" i="26"/>
  <c r="W12" i="26"/>
  <c r="D31" i="26" s="1"/>
  <c r="G31" i="26" s="1"/>
  <c r="U31" i="26" s="1"/>
  <c r="E31" i="26"/>
  <c r="AE12" i="26"/>
  <c r="H13" i="26"/>
  <c r="W13" i="26"/>
  <c r="D32" i="26" s="1"/>
  <c r="G32" i="26" s="1"/>
  <c r="E32" i="26"/>
  <c r="AE13" i="26"/>
  <c r="H14" i="26"/>
  <c r="W14" i="26"/>
  <c r="D33" i="26" s="1"/>
  <c r="G33" i="26" s="1"/>
  <c r="AC33" i="26" s="1"/>
  <c r="E33" i="26"/>
  <c r="AE14" i="26"/>
  <c r="F34" i="26"/>
  <c r="AE16" i="26"/>
  <c r="I34" i="26"/>
  <c r="F35" i="26"/>
  <c r="AE17" i="26"/>
  <c r="I35" i="26" s="1"/>
  <c r="F36" i="26"/>
  <c r="I36" i="26" s="1"/>
  <c r="AE18" i="26"/>
  <c r="F37" i="26"/>
  <c r="AE19" i="26"/>
  <c r="F38" i="26"/>
  <c r="AE20" i="26"/>
  <c r="I38" i="26"/>
  <c r="I10" i="28"/>
  <c r="D34" i="28"/>
  <c r="G34" i="28" s="1"/>
  <c r="E34" i="28"/>
  <c r="AF10" i="28"/>
  <c r="I11" i="28"/>
  <c r="D35" i="28"/>
  <c r="G35" i="28" s="1"/>
  <c r="E35" i="28"/>
  <c r="AF11" i="28"/>
  <c r="I12" i="28"/>
  <c r="D36" i="28"/>
  <c r="G36" i="28" s="1"/>
  <c r="E36" i="28"/>
  <c r="AF12" i="28"/>
  <c r="I13" i="28"/>
  <c r="D37" i="28"/>
  <c r="G37" i="28" s="1"/>
  <c r="E37" i="28"/>
  <c r="AF13" i="28"/>
  <c r="I19" i="28"/>
  <c r="D43" i="28"/>
  <c r="G43" i="28" s="1"/>
  <c r="E43" i="28"/>
  <c r="AF19" i="28"/>
  <c r="F44" i="28"/>
  <c r="AF21" i="28"/>
  <c r="F45" i="28"/>
  <c r="AF22" i="28"/>
  <c r="F46" i="28"/>
  <c r="AF23" i="28"/>
  <c r="F47" i="28"/>
  <c r="AF24" i="28"/>
  <c r="F48" i="28"/>
  <c r="AF25" i="28"/>
  <c r="J34" i="20"/>
  <c r="J35" i="20"/>
  <c r="J36" i="20"/>
  <c r="J38" i="20"/>
  <c r="J35" i="23"/>
  <c r="J36" i="23"/>
  <c r="J37" i="23"/>
  <c r="K32" i="25"/>
  <c r="K34" i="25"/>
  <c r="K36" i="25"/>
  <c r="K38" i="25"/>
  <c r="J34" i="26"/>
  <c r="J35" i="26"/>
  <c r="J36" i="26"/>
  <c r="J37" i="26"/>
  <c r="J38" i="26"/>
  <c r="K36" i="22"/>
  <c r="K34" i="20"/>
  <c r="K35" i="20"/>
  <c r="K36" i="20"/>
  <c r="K38" i="20"/>
  <c r="K35" i="23"/>
  <c r="K36" i="23"/>
  <c r="K37" i="23"/>
  <c r="K29" i="24"/>
  <c r="K31" i="24"/>
  <c r="K33" i="24"/>
  <c r="K35" i="24"/>
  <c r="K37" i="24"/>
  <c r="L32" i="25"/>
  <c r="L34" i="25"/>
  <c r="L35" i="25"/>
  <c r="L36" i="25"/>
  <c r="L38" i="25"/>
  <c r="K34" i="26"/>
  <c r="K35" i="26"/>
  <c r="K36" i="26"/>
  <c r="K38" i="26"/>
  <c r="L34" i="20"/>
  <c r="L35" i="20"/>
  <c r="L36" i="20"/>
  <c r="L38" i="20"/>
  <c r="L34" i="23"/>
  <c r="L35" i="23"/>
  <c r="L36" i="23"/>
  <c r="L37" i="23"/>
  <c r="L38" i="23"/>
  <c r="L29" i="24"/>
  <c r="L31" i="24"/>
  <c r="L32" i="24"/>
  <c r="L33" i="24"/>
  <c r="L35" i="24"/>
  <c r="L36" i="24"/>
  <c r="L37" i="24"/>
  <c r="M32" i="25"/>
  <c r="M34" i="25"/>
  <c r="M35" i="25"/>
  <c r="M36" i="25"/>
  <c r="M38" i="25"/>
  <c r="L31" i="26"/>
  <c r="L34" i="26"/>
  <c r="L35" i="26"/>
  <c r="L36" i="26"/>
  <c r="L38" i="26"/>
  <c r="M34" i="20"/>
  <c r="M35" i="20"/>
  <c r="M36" i="20"/>
  <c r="M37" i="20"/>
  <c r="M38" i="20"/>
  <c r="M35" i="23"/>
  <c r="M36" i="23"/>
  <c r="M37" i="23"/>
  <c r="M29" i="24"/>
  <c r="M31" i="24"/>
  <c r="M33" i="24"/>
  <c r="M35" i="24"/>
  <c r="M37" i="24"/>
  <c r="N32" i="25"/>
  <c r="N33" i="25"/>
  <c r="N34" i="25"/>
  <c r="N35" i="25"/>
  <c r="N36" i="25"/>
  <c r="N37" i="25"/>
  <c r="N38" i="25"/>
  <c r="M34" i="26"/>
  <c r="M35" i="26"/>
  <c r="M36" i="26"/>
  <c r="M38" i="26"/>
  <c r="N34" i="20"/>
  <c r="N35" i="20"/>
  <c r="N36" i="20"/>
  <c r="N38" i="20"/>
  <c r="N35" i="23"/>
  <c r="N36" i="23"/>
  <c r="N37" i="23"/>
  <c r="N29" i="24"/>
  <c r="N31" i="24"/>
  <c r="N33" i="24"/>
  <c r="N35" i="24"/>
  <c r="N37" i="24"/>
  <c r="O32" i="25"/>
  <c r="O34" i="25"/>
  <c r="O35" i="25"/>
  <c r="O36" i="25"/>
  <c r="O38" i="25"/>
  <c r="N34" i="26"/>
  <c r="N35" i="26"/>
  <c r="N36" i="26"/>
  <c r="N37" i="26"/>
  <c r="N38" i="26"/>
  <c r="O36" i="22"/>
  <c r="O34" i="20"/>
  <c r="O35" i="20"/>
  <c r="O36" i="20"/>
  <c r="O38" i="20"/>
  <c r="O35" i="23"/>
  <c r="O36" i="23"/>
  <c r="O37" i="23"/>
  <c r="O29" i="24"/>
  <c r="O31" i="24"/>
  <c r="O33" i="24"/>
  <c r="O35" i="24"/>
  <c r="O37" i="24"/>
  <c r="P32" i="25"/>
  <c r="P34" i="25"/>
  <c r="P35" i="25"/>
  <c r="P36" i="25"/>
  <c r="P38" i="25"/>
  <c r="O34" i="26"/>
  <c r="O35" i="26"/>
  <c r="O36" i="26"/>
  <c r="O38" i="26"/>
  <c r="P36" i="22"/>
  <c r="P34" i="20"/>
  <c r="P35" i="20"/>
  <c r="P36" i="20"/>
  <c r="P38" i="20"/>
  <c r="P34" i="23"/>
  <c r="P35" i="23"/>
  <c r="P36" i="23"/>
  <c r="P37" i="23"/>
  <c r="P38" i="23"/>
  <c r="P29" i="24"/>
  <c r="P31" i="24"/>
  <c r="P32" i="24"/>
  <c r="P33" i="24"/>
  <c r="P35" i="24"/>
  <c r="P36" i="24"/>
  <c r="P37" i="24"/>
  <c r="Q32" i="25"/>
  <c r="Q34" i="25"/>
  <c r="Q35" i="25"/>
  <c r="Q36" i="25"/>
  <c r="Q38" i="25"/>
  <c r="P34" i="26"/>
  <c r="P35" i="26"/>
  <c r="P36" i="26"/>
  <c r="P37" i="26"/>
  <c r="P38" i="26"/>
  <c r="Q34" i="20"/>
  <c r="Q35" i="20"/>
  <c r="Q36" i="20"/>
  <c r="Q37" i="20"/>
  <c r="Q38" i="20"/>
  <c r="Q35" i="23"/>
  <c r="Q36" i="23"/>
  <c r="Q37" i="23"/>
  <c r="Q29" i="24"/>
  <c r="Q31" i="24"/>
  <c r="Q33" i="24"/>
  <c r="Q35" i="24"/>
  <c r="Q37" i="24"/>
  <c r="R32" i="25"/>
  <c r="R33" i="25"/>
  <c r="R34" i="25"/>
  <c r="R35" i="25"/>
  <c r="R36" i="25"/>
  <c r="R37" i="25"/>
  <c r="R38" i="25"/>
  <c r="Q34" i="26"/>
  <c r="Q35" i="26"/>
  <c r="Q36" i="26"/>
  <c r="Q38" i="26"/>
  <c r="R34" i="20"/>
  <c r="R35" i="20"/>
  <c r="R36" i="20"/>
  <c r="R38" i="20"/>
  <c r="R34" i="23"/>
  <c r="R35" i="23"/>
  <c r="R36" i="23"/>
  <c r="R37" i="23"/>
  <c r="R38" i="23"/>
  <c r="R29" i="24"/>
  <c r="R31" i="24"/>
  <c r="R32" i="24"/>
  <c r="R33" i="24"/>
  <c r="R35" i="24"/>
  <c r="R36" i="24"/>
  <c r="R37" i="24"/>
  <c r="S32" i="25"/>
  <c r="S33" i="25"/>
  <c r="S34" i="25"/>
  <c r="S35" i="25"/>
  <c r="S36" i="25"/>
  <c r="S37" i="25"/>
  <c r="S38" i="25"/>
  <c r="R34" i="26"/>
  <c r="R35" i="26"/>
  <c r="R36" i="26"/>
  <c r="R37" i="26"/>
  <c r="R38" i="26"/>
  <c r="S36" i="22"/>
  <c r="S34" i="20"/>
  <c r="S35" i="20"/>
  <c r="S36" i="20"/>
  <c r="S37" i="20"/>
  <c r="S38" i="20"/>
  <c r="S34" i="23"/>
  <c r="S35" i="23"/>
  <c r="S36" i="23"/>
  <c r="S37" i="23"/>
  <c r="S38" i="23"/>
  <c r="S29" i="24"/>
  <c r="S31" i="24"/>
  <c r="S32" i="24"/>
  <c r="S33" i="24"/>
  <c r="S35" i="24"/>
  <c r="S36" i="24"/>
  <c r="S37" i="24"/>
  <c r="T32" i="25"/>
  <c r="T33" i="25"/>
  <c r="T34" i="25"/>
  <c r="T35" i="25"/>
  <c r="T36" i="25"/>
  <c r="T37" i="25"/>
  <c r="T38" i="25"/>
  <c r="S34" i="26"/>
  <c r="S35" i="26"/>
  <c r="S36" i="26"/>
  <c r="S37" i="26"/>
  <c r="S38" i="26"/>
  <c r="T34" i="20"/>
  <c r="T35" i="20"/>
  <c r="T36" i="20"/>
  <c r="T37" i="20"/>
  <c r="T38" i="20"/>
  <c r="T35" i="21"/>
  <c r="T34" i="23"/>
  <c r="T35" i="23"/>
  <c r="T36" i="23"/>
  <c r="T37" i="23"/>
  <c r="T38" i="23"/>
  <c r="T29" i="24"/>
  <c r="T31" i="24"/>
  <c r="T32" i="24"/>
  <c r="T33" i="24"/>
  <c r="T35" i="24"/>
  <c r="T36" i="24"/>
  <c r="T37" i="24"/>
  <c r="U32" i="25"/>
  <c r="U33" i="25"/>
  <c r="U34" i="25"/>
  <c r="U35" i="25"/>
  <c r="U36" i="25"/>
  <c r="U37" i="25"/>
  <c r="U38" i="25"/>
  <c r="T34" i="26"/>
  <c r="T35" i="26"/>
  <c r="T36" i="26"/>
  <c r="T37" i="26"/>
  <c r="T38" i="26"/>
  <c r="U34" i="20"/>
  <c r="U35" i="20"/>
  <c r="U36" i="20"/>
  <c r="U37" i="20"/>
  <c r="U38" i="20"/>
  <c r="U34" i="23"/>
  <c r="U35" i="23"/>
  <c r="U36" i="23"/>
  <c r="U37" i="23"/>
  <c r="U38" i="23"/>
  <c r="U29" i="24"/>
  <c r="U30" i="24"/>
  <c r="U31" i="24"/>
  <c r="U32" i="24"/>
  <c r="U33" i="24"/>
  <c r="U34" i="24"/>
  <c r="U35" i="24"/>
  <c r="U36" i="24"/>
  <c r="U37" i="24"/>
  <c r="U38" i="24"/>
  <c r="V32" i="25"/>
  <c r="V33" i="25"/>
  <c r="V34" i="25"/>
  <c r="V35" i="25"/>
  <c r="V36" i="25"/>
  <c r="V37" i="25"/>
  <c r="V38" i="25"/>
  <c r="U34" i="26"/>
  <c r="U35" i="26"/>
  <c r="U36" i="26"/>
  <c r="U37" i="26"/>
  <c r="U38" i="26"/>
  <c r="V34" i="20"/>
  <c r="V35" i="20"/>
  <c r="V36" i="20"/>
  <c r="V37" i="20"/>
  <c r="V38" i="20"/>
  <c r="V34" i="23"/>
  <c r="V35" i="23"/>
  <c r="V36" i="23"/>
  <c r="V37" i="23"/>
  <c r="V38" i="23"/>
  <c r="V29" i="24"/>
  <c r="V31" i="24"/>
  <c r="V32" i="24"/>
  <c r="V33" i="24"/>
  <c r="V35" i="24"/>
  <c r="V36" i="24"/>
  <c r="V37" i="24"/>
  <c r="W32" i="25"/>
  <c r="W33" i="25"/>
  <c r="W34" i="25"/>
  <c r="W35" i="25"/>
  <c r="W36" i="25"/>
  <c r="W37" i="25"/>
  <c r="W38" i="25"/>
  <c r="V34" i="26"/>
  <c r="V35" i="26"/>
  <c r="V36" i="26"/>
  <c r="V37" i="26"/>
  <c r="V38" i="26"/>
  <c r="W34" i="20"/>
  <c r="W35" i="20"/>
  <c r="W36" i="20"/>
  <c r="W37" i="20"/>
  <c r="W38" i="20"/>
  <c r="W35" i="21"/>
  <c r="W34" i="23"/>
  <c r="W35" i="23"/>
  <c r="W36" i="23"/>
  <c r="W37" i="23"/>
  <c r="W38" i="23"/>
  <c r="W29" i="24"/>
  <c r="W31" i="24"/>
  <c r="W32" i="24"/>
  <c r="W33" i="24"/>
  <c r="W35" i="24"/>
  <c r="W36" i="24"/>
  <c r="W37" i="24"/>
  <c r="X32" i="25"/>
  <c r="X33" i="25"/>
  <c r="X34" i="25"/>
  <c r="X35" i="25"/>
  <c r="X36" i="25"/>
  <c r="X37" i="25"/>
  <c r="X38" i="25"/>
  <c r="W34" i="26"/>
  <c r="W35" i="26"/>
  <c r="W36" i="26"/>
  <c r="W37" i="26"/>
  <c r="W38" i="26"/>
  <c r="X36" i="22"/>
  <c r="X34" i="20"/>
  <c r="X35" i="20"/>
  <c r="X36" i="20"/>
  <c r="X37" i="20"/>
  <c r="X38" i="20"/>
  <c r="X34" i="23"/>
  <c r="X35" i="23"/>
  <c r="X36" i="23"/>
  <c r="X37" i="23"/>
  <c r="X38" i="23"/>
  <c r="X29" i="24"/>
  <c r="X31" i="24"/>
  <c r="X32" i="24"/>
  <c r="X33" i="24"/>
  <c r="X35" i="24"/>
  <c r="X36" i="24"/>
  <c r="X37" i="24"/>
  <c r="Y32" i="25"/>
  <c r="Y33" i="25"/>
  <c r="Y34" i="25"/>
  <c r="Y35" i="25"/>
  <c r="Y36" i="25"/>
  <c r="Y37" i="25"/>
  <c r="Y38" i="25"/>
  <c r="X34" i="26"/>
  <c r="X35" i="26"/>
  <c r="X36" i="26"/>
  <c r="X37" i="26"/>
  <c r="X38" i="26"/>
  <c r="Y34" i="20"/>
  <c r="Y35" i="20"/>
  <c r="Y36" i="20"/>
  <c r="Y37" i="20"/>
  <c r="Y38" i="20"/>
  <c r="Y34" i="23"/>
  <c r="Y35" i="23"/>
  <c r="Y36" i="23"/>
  <c r="Y37" i="23"/>
  <c r="Y38" i="23"/>
  <c r="Y29" i="24"/>
  <c r="Y30" i="24"/>
  <c r="Y31" i="24"/>
  <c r="Y32" i="24"/>
  <c r="Y33" i="24"/>
  <c r="Y34" i="24"/>
  <c r="Y35" i="24"/>
  <c r="Y36" i="24"/>
  <c r="Y37" i="24"/>
  <c r="Y38" i="24"/>
  <c r="Z32" i="25"/>
  <c r="Z33" i="25"/>
  <c r="Z34" i="25"/>
  <c r="Z35" i="25"/>
  <c r="Z36" i="25"/>
  <c r="Z37" i="25"/>
  <c r="Z38" i="25"/>
  <c r="Y34" i="26"/>
  <c r="Y35" i="26"/>
  <c r="Y36" i="26"/>
  <c r="Y37" i="26"/>
  <c r="Y38" i="26"/>
  <c r="Z36" i="22"/>
  <c r="Z34" i="20"/>
  <c r="Z35" i="20"/>
  <c r="Z36" i="20"/>
  <c r="Z37" i="20"/>
  <c r="Z38" i="20"/>
  <c r="Z35" i="21"/>
  <c r="Z34" i="23"/>
  <c r="Z35" i="23"/>
  <c r="Z36" i="23"/>
  <c r="Z37" i="23"/>
  <c r="Z38" i="23"/>
  <c r="Z29" i="24"/>
  <c r="Z31" i="24"/>
  <c r="Z32" i="24"/>
  <c r="Z33" i="24"/>
  <c r="Z35" i="24"/>
  <c r="Z36" i="24"/>
  <c r="Z37" i="24"/>
  <c r="AA32" i="25"/>
  <c r="AA33" i="25"/>
  <c r="AA34" i="25"/>
  <c r="AA35" i="25"/>
  <c r="AA36" i="25"/>
  <c r="AA37" i="25"/>
  <c r="AA38" i="25"/>
  <c r="Z34" i="26"/>
  <c r="Z35" i="26"/>
  <c r="Z36" i="26"/>
  <c r="Z37" i="26"/>
  <c r="Z38" i="26"/>
  <c r="AA34" i="20"/>
  <c r="AA35" i="20"/>
  <c r="AA36" i="20"/>
  <c r="AA37" i="20"/>
  <c r="AA38" i="20"/>
  <c r="AA34" i="23"/>
  <c r="AA35" i="23"/>
  <c r="AA36" i="23"/>
  <c r="AA37" i="23"/>
  <c r="AA38" i="23"/>
  <c r="AA29" i="24"/>
  <c r="AA31" i="24"/>
  <c r="AA32" i="24"/>
  <c r="AA33" i="24"/>
  <c r="AA35" i="24"/>
  <c r="AA36" i="24"/>
  <c r="AA37" i="24"/>
  <c r="AB32" i="25"/>
  <c r="AB33" i="25"/>
  <c r="AB34" i="25"/>
  <c r="AB35" i="25"/>
  <c r="AB36" i="25"/>
  <c r="AB37" i="25"/>
  <c r="AB38" i="25"/>
  <c r="AA34" i="26"/>
  <c r="AA35" i="26"/>
  <c r="AA36" i="26"/>
  <c r="AA37" i="26"/>
  <c r="AA38" i="26"/>
  <c r="AB36" i="22"/>
  <c r="AB34" i="20"/>
  <c r="AB35" i="20"/>
  <c r="AB36" i="20"/>
  <c r="AB37" i="20"/>
  <c r="AB38" i="20"/>
  <c r="AB34" i="23"/>
  <c r="AB35" i="23"/>
  <c r="AB36" i="23"/>
  <c r="AB37" i="23"/>
  <c r="AB38" i="23"/>
  <c r="AB29" i="24"/>
  <c r="AB31" i="24"/>
  <c r="AB32" i="24"/>
  <c r="AB33" i="24"/>
  <c r="AB35" i="24"/>
  <c r="AB36" i="24"/>
  <c r="AB37" i="24"/>
  <c r="AC32" i="25"/>
  <c r="AC33" i="25"/>
  <c r="AC34" i="25"/>
  <c r="AC35" i="25"/>
  <c r="AC36" i="25"/>
  <c r="AC37" i="25"/>
  <c r="AC38" i="25"/>
  <c r="AB34" i="26"/>
  <c r="AB35" i="26"/>
  <c r="AB36" i="26"/>
  <c r="AB37" i="26"/>
  <c r="AB38" i="26"/>
  <c r="AC34" i="20"/>
  <c r="AC35" i="20"/>
  <c r="AC36" i="20"/>
  <c r="AC37" i="20"/>
  <c r="AC38" i="20"/>
  <c r="AC35" i="21"/>
  <c r="AC34" i="23"/>
  <c r="AC35" i="23"/>
  <c r="AC36" i="23"/>
  <c r="AC37" i="23"/>
  <c r="AC38" i="23"/>
  <c r="AC29" i="24"/>
  <c r="AC30" i="24"/>
  <c r="AC31" i="24"/>
  <c r="AC32" i="24"/>
  <c r="AC33" i="24"/>
  <c r="AC34" i="24"/>
  <c r="AC35" i="24"/>
  <c r="AC36" i="24"/>
  <c r="AC37" i="24"/>
  <c r="AC38" i="24"/>
  <c r="AD32" i="25"/>
  <c r="AD33" i="25"/>
  <c r="AD34" i="25"/>
  <c r="AD35" i="25"/>
  <c r="AD36" i="25"/>
  <c r="AD37" i="25"/>
  <c r="AD38" i="25"/>
  <c r="AC34" i="26"/>
  <c r="AC35" i="26"/>
  <c r="AC36" i="26"/>
  <c r="AC37" i="26"/>
  <c r="AC38" i="26"/>
  <c r="AD36" i="22"/>
  <c r="AD34" i="20"/>
  <c r="AD35" i="20"/>
  <c r="AD36" i="20"/>
  <c r="AD37" i="20"/>
  <c r="AD38" i="20"/>
  <c r="AD35" i="21"/>
  <c r="AD34" i="23"/>
  <c r="AD35" i="23"/>
  <c r="AD36" i="23"/>
  <c r="AD37" i="23"/>
  <c r="AD38" i="23"/>
  <c r="AD29" i="24"/>
  <c r="AD31" i="24"/>
  <c r="AD32" i="24"/>
  <c r="AD33" i="24"/>
  <c r="AD35" i="24"/>
  <c r="AD36" i="24"/>
  <c r="AD37" i="24"/>
  <c r="AE32" i="25"/>
  <c r="AE33" i="25"/>
  <c r="AE34" i="25"/>
  <c r="AE35" i="25"/>
  <c r="AE36" i="25"/>
  <c r="AE37" i="25"/>
  <c r="AE38" i="25"/>
  <c r="AD34" i="26"/>
  <c r="AD35" i="26"/>
  <c r="AD36" i="26"/>
  <c r="AD37" i="26"/>
  <c r="AD38" i="26"/>
  <c r="AE34" i="20"/>
  <c r="AE35" i="20"/>
  <c r="AE36" i="20"/>
  <c r="AE37" i="20"/>
  <c r="AE38" i="20"/>
  <c r="AE35" i="21"/>
  <c r="AE34" i="23"/>
  <c r="AE35" i="23"/>
  <c r="AE36" i="23"/>
  <c r="AE37" i="23"/>
  <c r="AE38" i="23"/>
  <c r="AE29" i="24"/>
  <c r="AE31" i="24"/>
  <c r="AE32" i="24"/>
  <c r="AE33" i="24"/>
  <c r="AE35" i="24"/>
  <c r="AE36" i="24"/>
  <c r="AE37" i="24"/>
  <c r="AF32" i="25"/>
  <c r="AF33" i="25"/>
  <c r="AF34" i="25"/>
  <c r="AF35" i="25"/>
  <c r="AF36" i="25"/>
  <c r="AF37" i="25"/>
  <c r="AF38" i="25"/>
  <c r="AE34" i="26"/>
  <c r="AE35" i="26"/>
  <c r="AE36" i="26"/>
  <c r="AE37" i="26"/>
  <c r="AE38" i="26"/>
  <c r="AF34" i="20"/>
  <c r="AF35" i="20"/>
  <c r="AF36" i="20"/>
  <c r="AF37" i="20"/>
  <c r="AF38" i="20"/>
  <c r="AF34" i="23"/>
  <c r="AF35" i="23"/>
  <c r="AF36" i="23"/>
  <c r="AF37" i="23"/>
  <c r="AF38" i="23"/>
  <c r="AF29" i="24"/>
  <c r="AF31" i="24"/>
  <c r="AF32" i="24"/>
  <c r="AF33" i="24"/>
  <c r="AF35" i="24"/>
  <c r="AF36" i="24"/>
  <c r="AF37" i="24"/>
  <c r="AG32" i="25"/>
  <c r="AG33" i="25"/>
  <c r="AG34" i="25"/>
  <c r="AG35" i="25"/>
  <c r="AG36" i="25"/>
  <c r="AG37" i="25"/>
  <c r="AG38" i="25"/>
  <c r="AF34" i="26"/>
  <c r="AF35" i="26"/>
  <c r="AF36" i="26"/>
  <c r="AF37" i="26"/>
  <c r="AF38" i="26"/>
  <c r="AG34" i="20"/>
  <c r="AG35" i="20"/>
  <c r="AG36" i="20"/>
  <c r="AG37" i="20"/>
  <c r="AG38" i="20"/>
  <c r="AG35" i="21"/>
  <c r="AG34" i="23"/>
  <c r="AG35" i="23"/>
  <c r="AG36" i="23"/>
  <c r="AG37" i="23"/>
  <c r="AG38" i="23"/>
  <c r="AG29" i="24"/>
  <c r="AG30" i="24"/>
  <c r="AG31" i="24"/>
  <c r="AG32" i="24"/>
  <c r="AG33" i="24"/>
  <c r="AG34" i="24"/>
  <c r="AG35" i="24"/>
  <c r="AG36" i="24"/>
  <c r="AG37" i="24"/>
  <c r="AG38" i="24"/>
  <c r="AH32" i="25"/>
  <c r="AH33" i="25"/>
  <c r="AH34" i="25"/>
  <c r="AH35" i="25"/>
  <c r="AH36" i="25"/>
  <c r="AH37" i="25"/>
  <c r="AH38" i="25"/>
  <c r="AG34" i="26"/>
  <c r="AG35" i="26"/>
  <c r="AG36" i="26"/>
  <c r="AG37" i="26"/>
  <c r="AG38" i="26"/>
  <c r="I8" i="22"/>
  <c r="Q8" i="22" s="1"/>
  <c r="J8" i="22"/>
  <c r="R8" i="22" s="1"/>
  <c r="K8" i="22"/>
  <c r="S8" i="22" s="1"/>
  <c r="L8" i="22"/>
  <c r="M8" i="22"/>
  <c r="U8" i="22" s="1"/>
  <c r="I8" i="20"/>
  <c r="Q8" i="20" s="1"/>
  <c r="J8" i="20"/>
  <c r="R8" i="20" s="1"/>
  <c r="K8" i="20"/>
  <c r="S8" i="20" s="1"/>
  <c r="L8" i="20"/>
  <c r="T8" i="20" s="1"/>
  <c r="M8" i="20"/>
  <c r="U8" i="20" s="1"/>
  <c r="J8" i="21"/>
  <c r="R8" i="21" s="1"/>
  <c r="R22" i="21" s="1"/>
  <c r="K8" i="21"/>
  <c r="L8" i="21"/>
  <c r="T8" i="21" s="1"/>
  <c r="T22" i="21" s="1"/>
  <c r="M8" i="21"/>
  <c r="U8" i="21" s="1"/>
  <c r="U22" i="21" s="1"/>
  <c r="N8" i="21"/>
  <c r="V8" i="21" s="1"/>
  <c r="V22" i="21" s="1"/>
  <c r="I8" i="23"/>
  <c r="Q8" i="23" s="1"/>
  <c r="I8" i="24"/>
  <c r="J8" i="24"/>
  <c r="R8" i="24" s="1"/>
  <c r="K8" i="24"/>
  <c r="S8" i="24" s="1"/>
  <c r="L8" i="24"/>
  <c r="T8" i="24" s="1"/>
  <c r="M8" i="24"/>
  <c r="U8" i="24" s="1"/>
  <c r="I8" i="26"/>
  <c r="O14" i="26" s="1"/>
  <c r="O10" i="25"/>
  <c r="O14" i="25"/>
  <c r="O15" i="25"/>
  <c r="O16" i="25"/>
  <c r="O17" i="25"/>
  <c r="O18" i="25"/>
  <c r="O19" i="25"/>
  <c r="O20" i="25"/>
  <c r="W10" i="25"/>
  <c r="D42" i="25" s="1"/>
  <c r="G42" i="25" s="1"/>
  <c r="W14" i="25"/>
  <c r="W15" i="25"/>
  <c r="W16" i="25"/>
  <c r="W17" i="25"/>
  <c r="W18" i="25"/>
  <c r="W19" i="25"/>
  <c r="W20" i="25"/>
  <c r="E12" i="33"/>
  <c r="W10" i="28"/>
  <c r="D52" i="28" s="1"/>
  <c r="G52" i="28" s="1"/>
  <c r="W11" i="28"/>
  <c r="D53" i="28" s="1"/>
  <c r="G53" i="28" s="1"/>
  <c r="W12" i="28"/>
  <c r="D54" i="28" s="1"/>
  <c r="G54" i="28" s="1"/>
  <c r="W13" i="28"/>
  <c r="D55" i="28" s="1"/>
  <c r="G55" i="28" s="1"/>
  <c r="W19" i="28"/>
  <c r="D61" i="28" s="1"/>
  <c r="G61" i="28" s="1"/>
  <c r="V10" i="26"/>
  <c r="D42" i="26" s="1"/>
  <c r="G42" i="26" s="1"/>
  <c r="V11" i="26"/>
  <c r="D43" i="26"/>
  <c r="G43" i="26" s="1"/>
  <c r="V12" i="26"/>
  <c r="D44" i="26"/>
  <c r="G44" i="26" s="1"/>
  <c r="AG44" i="26" s="1"/>
  <c r="V13" i="26"/>
  <c r="D45" i="26"/>
  <c r="G45" i="26" s="1"/>
  <c r="V14" i="26"/>
  <c r="D46" i="26"/>
  <c r="G46" i="26" s="1"/>
  <c r="AG47" i="26"/>
  <c r="AG48" i="26"/>
  <c r="AG49" i="26"/>
  <c r="AG50" i="26"/>
  <c r="AG51" i="26"/>
  <c r="AF47" i="26"/>
  <c r="AF48" i="26"/>
  <c r="AF49" i="26"/>
  <c r="AF50" i="26"/>
  <c r="AF51" i="26"/>
  <c r="AE47" i="26"/>
  <c r="AE48" i="26"/>
  <c r="AE49" i="26"/>
  <c r="AE50" i="26"/>
  <c r="AE51" i="26"/>
  <c r="AD47" i="26"/>
  <c r="AD48" i="26"/>
  <c r="AD49" i="26"/>
  <c r="AD50" i="26"/>
  <c r="AD51" i="26"/>
  <c r="AC44" i="26"/>
  <c r="AC47" i="26"/>
  <c r="AC48" i="26"/>
  <c r="AC49" i="26"/>
  <c r="AC50" i="26"/>
  <c r="AC51" i="26"/>
  <c r="AB47" i="26"/>
  <c r="AB48" i="26"/>
  <c r="AB49" i="26"/>
  <c r="AB50" i="26"/>
  <c r="AB51" i="26"/>
  <c r="AA47" i="26"/>
  <c r="AA48" i="26"/>
  <c r="AA49" i="26"/>
  <c r="AA50" i="26"/>
  <c r="AA51" i="26"/>
  <c r="Z47" i="26"/>
  <c r="Z48" i="26"/>
  <c r="Z49" i="26"/>
  <c r="Z50" i="26"/>
  <c r="Z51" i="26"/>
  <c r="Y44" i="26"/>
  <c r="Y47" i="26"/>
  <c r="Y48" i="26"/>
  <c r="Y49" i="26"/>
  <c r="Y50" i="26"/>
  <c r="Y51" i="26"/>
  <c r="X47" i="26"/>
  <c r="X48" i="26"/>
  <c r="X49" i="26"/>
  <c r="X50" i="26"/>
  <c r="X51" i="26"/>
  <c r="W47" i="26"/>
  <c r="W48" i="26"/>
  <c r="W49" i="26"/>
  <c r="W50" i="26"/>
  <c r="W51" i="26"/>
  <c r="V47" i="26"/>
  <c r="V48" i="26"/>
  <c r="V49" i="26"/>
  <c r="V50" i="26"/>
  <c r="V51" i="26"/>
  <c r="U44" i="26"/>
  <c r="U47" i="26"/>
  <c r="U48" i="26"/>
  <c r="U49" i="26"/>
  <c r="U50" i="26"/>
  <c r="U51" i="26"/>
  <c r="T47" i="26"/>
  <c r="T48" i="26"/>
  <c r="T49" i="26"/>
  <c r="T50" i="26"/>
  <c r="T51" i="26"/>
  <c r="S44" i="26"/>
  <c r="S47" i="26"/>
  <c r="S48" i="26"/>
  <c r="S49" i="26"/>
  <c r="S50" i="26"/>
  <c r="S51" i="26"/>
  <c r="R47" i="26"/>
  <c r="R48" i="26"/>
  <c r="R49" i="26"/>
  <c r="R50" i="26"/>
  <c r="R51" i="26"/>
  <c r="Q44" i="26"/>
  <c r="Q47" i="26"/>
  <c r="Q48" i="26"/>
  <c r="Q49" i="26"/>
  <c r="Q50" i="26"/>
  <c r="Q51" i="26"/>
  <c r="P47" i="26"/>
  <c r="P48" i="26"/>
  <c r="P49" i="26"/>
  <c r="P50" i="26"/>
  <c r="P51" i="26"/>
  <c r="O44" i="26"/>
  <c r="O47" i="26"/>
  <c r="O48" i="26"/>
  <c r="O49" i="26"/>
  <c r="O50" i="26"/>
  <c r="O51" i="26"/>
  <c r="N47" i="26"/>
  <c r="N48" i="26"/>
  <c r="N49" i="26"/>
  <c r="N50" i="26"/>
  <c r="N51" i="26"/>
  <c r="M44" i="26"/>
  <c r="M47" i="26"/>
  <c r="AH47" i="26" s="1"/>
  <c r="M48" i="26"/>
  <c r="M49" i="26"/>
  <c r="M50" i="26"/>
  <c r="M51" i="26"/>
  <c r="L47" i="26"/>
  <c r="L48" i="26"/>
  <c r="L49" i="26"/>
  <c r="L50" i="26"/>
  <c r="L51" i="26"/>
  <c r="K44" i="26"/>
  <c r="K47" i="26"/>
  <c r="K48" i="26"/>
  <c r="K49" i="26"/>
  <c r="K50" i="26"/>
  <c r="K51" i="26"/>
  <c r="J44" i="26"/>
  <c r="J47" i="26"/>
  <c r="J48" i="26"/>
  <c r="J49" i="26"/>
  <c r="J50" i="26"/>
  <c r="J51" i="26"/>
  <c r="I44" i="26"/>
  <c r="I47" i="26"/>
  <c r="I48" i="26"/>
  <c r="I49" i="26"/>
  <c r="I50" i="26"/>
  <c r="I51" i="26"/>
  <c r="AH45" i="25"/>
  <c r="AH46" i="25"/>
  <c r="AH47" i="25"/>
  <c r="AH48" i="25"/>
  <c r="AH49" i="25"/>
  <c r="AH50" i="25"/>
  <c r="AH51" i="25"/>
  <c r="AG45" i="25"/>
  <c r="AG46" i="25"/>
  <c r="AG47" i="25"/>
  <c r="AG48" i="25"/>
  <c r="AG49" i="25"/>
  <c r="AG50" i="25"/>
  <c r="AG51" i="25"/>
  <c r="AF45" i="25"/>
  <c r="AF46" i="25"/>
  <c r="AF47" i="25"/>
  <c r="AF48" i="25"/>
  <c r="AF49" i="25"/>
  <c r="AF50" i="25"/>
  <c r="AF51" i="25"/>
  <c r="AE45" i="25"/>
  <c r="AE46" i="25"/>
  <c r="AE47" i="25"/>
  <c r="AE48" i="25"/>
  <c r="AE49" i="25"/>
  <c r="AE50" i="25"/>
  <c r="AE51" i="25"/>
  <c r="AD45" i="25"/>
  <c r="AD46" i="25"/>
  <c r="AD47" i="25"/>
  <c r="AD48" i="25"/>
  <c r="AD49" i="25"/>
  <c r="AD50" i="25"/>
  <c r="AD51" i="25"/>
  <c r="AC45" i="25"/>
  <c r="AC46" i="25"/>
  <c r="AC47" i="25"/>
  <c r="AC48" i="25"/>
  <c r="AC49" i="25"/>
  <c r="AC50" i="25"/>
  <c r="AC51" i="25"/>
  <c r="AB45" i="25"/>
  <c r="AB46" i="25"/>
  <c r="AB47" i="25"/>
  <c r="AB48" i="25"/>
  <c r="AB49" i="25"/>
  <c r="AB50" i="25"/>
  <c r="AB51" i="25"/>
  <c r="AA45" i="25"/>
  <c r="AA46" i="25"/>
  <c r="AA47" i="25"/>
  <c r="AA48" i="25"/>
  <c r="AA49" i="25"/>
  <c r="AA50" i="25"/>
  <c r="AA51" i="25"/>
  <c r="Z45" i="25"/>
  <c r="Z46" i="25"/>
  <c r="Z47" i="25"/>
  <c r="Z48" i="25"/>
  <c r="Z49" i="25"/>
  <c r="Z50" i="25"/>
  <c r="Z51" i="25"/>
  <c r="Y45" i="25"/>
  <c r="Y46" i="25"/>
  <c r="Y47" i="25"/>
  <c r="Y48" i="25"/>
  <c r="Y49" i="25"/>
  <c r="Y50" i="25"/>
  <c r="Y51" i="25"/>
  <c r="X45" i="25"/>
  <c r="X46" i="25"/>
  <c r="X47" i="25"/>
  <c r="X48" i="25"/>
  <c r="X49" i="25"/>
  <c r="X50" i="25"/>
  <c r="X51" i="25"/>
  <c r="W45" i="25"/>
  <c r="W46" i="25"/>
  <c r="W47" i="25"/>
  <c r="W48" i="25"/>
  <c r="W49" i="25"/>
  <c r="W50" i="25"/>
  <c r="W51" i="25"/>
  <c r="V45" i="25"/>
  <c r="V46" i="25"/>
  <c r="V47" i="25"/>
  <c r="V48" i="25"/>
  <c r="V49" i="25"/>
  <c r="V50" i="25"/>
  <c r="V51" i="25"/>
  <c r="U45" i="25"/>
  <c r="U46" i="25"/>
  <c r="U47" i="25"/>
  <c r="U48" i="25"/>
  <c r="U49" i="25"/>
  <c r="U50" i="25"/>
  <c r="U51" i="25"/>
  <c r="T45" i="25"/>
  <c r="T46" i="25"/>
  <c r="T47" i="25"/>
  <c r="T48" i="25"/>
  <c r="T49" i="25"/>
  <c r="T50" i="25"/>
  <c r="T51" i="25"/>
  <c r="S45" i="25"/>
  <c r="S46" i="25"/>
  <c r="S47" i="25"/>
  <c r="S48" i="25"/>
  <c r="S49" i="25"/>
  <c r="S50" i="25"/>
  <c r="S51" i="25"/>
  <c r="R45" i="25"/>
  <c r="R46" i="25"/>
  <c r="R47" i="25"/>
  <c r="R48" i="25"/>
  <c r="R49" i="25"/>
  <c r="R50" i="25"/>
  <c r="R51" i="25"/>
  <c r="Q45" i="25"/>
  <c r="Q46" i="25"/>
  <c r="Q47" i="25"/>
  <c r="Q48" i="25"/>
  <c r="Q49" i="25"/>
  <c r="Q50" i="25"/>
  <c r="Q51" i="25"/>
  <c r="P45" i="25"/>
  <c r="P46" i="25"/>
  <c r="P47" i="25"/>
  <c r="P48" i="25"/>
  <c r="P49" i="25"/>
  <c r="P50" i="25"/>
  <c r="P51" i="25"/>
  <c r="O45" i="25"/>
  <c r="O46" i="25"/>
  <c r="O47" i="25"/>
  <c r="O48" i="25"/>
  <c r="O49" i="25"/>
  <c r="O50" i="25"/>
  <c r="O51" i="25"/>
  <c r="N45" i="25"/>
  <c r="N46" i="25"/>
  <c r="N47" i="25"/>
  <c r="N48" i="25"/>
  <c r="N49" i="25"/>
  <c r="N50" i="25"/>
  <c r="N51" i="25"/>
  <c r="M45" i="25"/>
  <c r="M46" i="25"/>
  <c r="M47" i="25"/>
  <c r="M48" i="25"/>
  <c r="M49" i="25"/>
  <c r="M50" i="25"/>
  <c r="M51" i="25"/>
  <c r="L45" i="25"/>
  <c r="L46" i="25"/>
  <c r="L47" i="25"/>
  <c r="L48" i="25"/>
  <c r="L49" i="25"/>
  <c r="L50" i="25"/>
  <c r="L51" i="25"/>
  <c r="K45" i="25"/>
  <c r="K46" i="25"/>
  <c r="K47" i="25"/>
  <c r="K48" i="25"/>
  <c r="K49" i="25"/>
  <c r="K50" i="25"/>
  <c r="K51" i="25"/>
  <c r="J45" i="25"/>
  <c r="J46" i="25"/>
  <c r="J47" i="25"/>
  <c r="J48" i="25"/>
  <c r="J49" i="25"/>
  <c r="J50" i="25"/>
  <c r="J51" i="25"/>
  <c r="AG42" i="24"/>
  <c r="AG43" i="24"/>
  <c r="AG44" i="24"/>
  <c r="AG45" i="24"/>
  <c r="AG46" i="24"/>
  <c r="AG47" i="24"/>
  <c r="AG48" i="24"/>
  <c r="AG49" i="24"/>
  <c r="AG50" i="24"/>
  <c r="AG51" i="24"/>
  <c r="AF42" i="24"/>
  <c r="AF43" i="24"/>
  <c r="AF44" i="24"/>
  <c r="AF45" i="24"/>
  <c r="AF46" i="24"/>
  <c r="AF47" i="24"/>
  <c r="AF48" i="24"/>
  <c r="AF49" i="24"/>
  <c r="AF50" i="24"/>
  <c r="AF51" i="24"/>
  <c r="AE42" i="24"/>
  <c r="AE43" i="24"/>
  <c r="AE44" i="24"/>
  <c r="AE45" i="24"/>
  <c r="AE46" i="24"/>
  <c r="AE47" i="24"/>
  <c r="AE48" i="24"/>
  <c r="AE49" i="24"/>
  <c r="AE50" i="24"/>
  <c r="AE51" i="24"/>
  <c r="AD42" i="24"/>
  <c r="AD43" i="24"/>
  <c r="AD44" i="24"/>
  <c r="AD45" i="24"/>
  <c r="AD46" i="24"/>
  <c r="AD47" i="24"/>
  <c r="AD48" i="24"/>
  <c r="AD49" i="24"/>
  <c r="AD50" i="24"/>
  <c r="AD51" i="24"/>
  <c r="AC42" i="24"/>
  <c r="AC43" i="24"/>
  <c r="AC44" i="24"/>
  <c r="AC45" i="24"/>
  <c r="AC46" i="24"/>
  <c r="AC47" i="24"/>
  <c r="AC48" i="24"/>
  <c r="AC49" i="24"/>
  <c r="AC50" i="24"/>
  <c r="AC51" i="24"/>
  <c r="AB42" i="24"/>
  <c r="AB43" i="24"/>
  <c r="AB44" i="24"/>
  <c r="AB45" i="24"/>
  <c r="AB46" i="24"/>
  <c r="AB47" i="24"/>
  <c r="AB48" i="24"/>
  <c r="AB49" i="24"/>
  <c r="AB50" i="24"/>
  <c r="AB51" i="24"/>
  <c r="AA42" i="24"/>
  <c r="AA43" i="24"/>
  <c r="AA44" i="24"/>
  <c r="AA45" i="24"/>
  <c r="AA46" i="24"/>
  <c r="AA47" i="24"/>
  <c r="AA48" i="24"/>
  <c r="AA49" i="24"/>
  <c r="AA50" i="24"/>
  <c r="AA51" i="24"/>
  <c r="Z42" i="24"/>
  <c r="Z43" i="24"/>
  <c r="Z44" i="24"/>
  <c r="Z45" i="24"/>
  <c r="Z46" i="24"/>
  <c r="Z47" i="24"/>
  <c r="Z48" i="24"/>
  <c r="Z49" i="24"/>
  <c r="Z50" i="24"/>
  <c r="Z51" i="24"/>
  <c r="Y42" i="24"/>
  <c r="Y43" i="24"/>
  <c r="Y44" i="24"/>
  <c r="Y45" i="24"/>
  <c r="Y46" i="24"/>
  <c r="Y47" i="24"/>
  <c r="Y48" i="24"/>
  <c r="Y49" i="24"/>
  <c r="Y50" i="24"/>
  <c r="Y51" i="24"/>
  <c r="X42" i="24"/>
  <c r="X43" i="24"/>
  <c r="X44" i="24"/>
  <c r="X45" i="24"/>
  <c r="X46" i="24"/>
  <c r="X47" i="24"/>
  <c r="X48" i="24"/>
  <c r="X49" i="24"/>
  <c r="X50" i="24"/>
  <c r="X51" i="24"/>
  <c r="W42" i="24"/>
  <c r="W43" i="24"/>
  <c r="W44" i="24"/>
  <c r="W45" i="24"/>
  <c r="W46" i="24"/>
  <c r="W47" i="24"/>
  <c r="W48" i="24"/>
  <c r="W49" i="24"/>
  <c r="W50" i="24"/>
  <c r="W51" i="24"/>
  <c r="V42" i="24"/>
  <c r="V43" i="24"/>
  <c r="V44" i="24"/>
  <c r="V45" i="24"/>
  <c r="V46" i="24"/>
  <c r="V47" i="24"/>
  <c r="V48" i="24"/>
  <c r="V49" i="24"/>
  <c r="V50" i="24"/>
  <c r="V51" i="24"/>
  <c r="U42" i="24"/>
  <c r="U43" i="24"/>
  <c r="U44" i="24"/>
  <c r="U45" i="24"/>
  <c r="U46" i="24"/>
  <c r="U47" i="24"/>
  <c r="U48" i="24"/>
  <c r="U49" i="24"/>
  <c r="U50" i="24"/>
  <c r="U51" i="24"/>
  <c r="T42" i="24"/>
  <c r="T43" i="24"/>
  <c r="T44" i="24"/>
  <c r="T45" i="24"/>
  <c r="T46" i="24"/>
  <c r="T47" i="24"/>
  <c r="T48" i="24"/>
  <c r="T49" i="24"/>
  <c r="T50" i="24"/>
  <c r="T51" i="24"/>
  <c r="S42" i="24"/>
  <c r="S43" i="24"/>
  <c r="S44" i="24"/>
  <c r="S45" i="24"/>
  <c r="S46" i="24"/>
  <c r="S47" i="24"/>
  <c r="S48" i="24"/>
  <c r="S49" i="24"/>
  <c r="S50" i="24"/>
  <c r="S52" i="24" s="1"/>
  <c r="N28" i="34" s="1"/>
  <c r="S51" i="24"/>
  <c r="R42" i="24"/>
  <c r="R52" i="24" s="1"/>
  <c r="M28" i="34" s="1"/>
  <c r="R43" i="24"/>
  <c r="R44" i="24"/>
  <c r="R45" i="24"/>
  <c r="R46" i="24"/>
  <c r="R47" i="24"/>
  <c r="R48" i="24"/>
  <c r="R49" i="24"/>
  <c r="R50" i="24"/>
  <c r="R51" i="24"/>
  <c r="Q42" i="24"/>
  <c r="Q43" i="24"/>
  <c r="Q44" i="24"/>
  <c r="Q45" i="24"/>
  <c r="Q46" i="24"/>
  <c r="Q47" i="24"/>
  <c r="Q48" i="24"/>
  <c r="Q49" i="24"/>
  <c r="Q50" i="24"/>
  <c r="Q51" i="24"/>
  <c r="Q52" i="24"/>
  <c r="L28" i="34" s="1"/>
  <c r="P42" i="24"/>
  <c r="P43" i="24"/>
  <c r="P44" i="24"/>
  <c r="P45" i="24"/>
  <c r="P46" i="24"/>
  <c r="P47" i="24"/>
  <c r="P48" i="24"/>
  <c r="P49" i="24"/>
  <c r="P50" i="24"/>
  <c r="P51" i="24"/>
  <c r="P52" i="24"/>
  <c r="K28" i="34" s="1"/>
  <c r="O42" i="24"/>
  <c r="O52" i="24" s="1"/>
  <c r="J28" i="34" s="1"/>
  <c r="O43" i="24"/>
  <c r="O44" i="24"/>
  <c r="O45" i="24"/>
  <c r="O46" i="24"/>
  <c r="O47" i="24"/>
  <c r="O48" i="24"/>
  <c r="O49" i="24"/>
  <c r="O50" i="24"/>
  <c r="O51" i="24"/>
  <c r="N42" i="24"/>
  <c r="N52" i="24" s="1"/>
  <c r="I28" i="34" s="1"/>
  <c r="N43" i="24"/>
  <c r="N44" i="24"/>
  <c r="N45" i="24"/>
  <c r="N46" i="24"/>
  <c r="N47" i="24"/>
  <c r="N48" i="24"/>
  <c r="N49" i="24"/>
  <c r="N50" i="24"/>
  <c r="N51" i="24"/>
  <c r="M42" i="24"/>
  <c r="M43" i="24"/>
  <c r="M44" i="24"/>
  <c r="M45" i="24"/>
  <c r="M46" i="24"/>
  <c r="M47" i="24"/>
  <c r="M48" i="24"/>
  <c r="M49" i="24"/>
  <c r="M50" i="24"/>
  <c r="M51" i="24"/>
  <c r="M52" i="24"/>
  <c r="H28" i="34" s="1"/>
  <c r="L42" i="24"/>
  <c r="L43" i="24"/>
  <c r="L44" i="24"/>
  <c r="L45" i="24"/>
  <c r="L46" i="24"/>
  <c r="L47" i="24"/>
  <c r="L48" i="24"/>
  <c r="L49" i="24"/>
  <c r="L50" i="24"/>
  <c r="L51" i="24"/>
  <c r="L52" i="24"/>
  <c r="G28" i="34" s="1"/>
  <c r="K42" i="24"/>
  <c r="K52" i="24" s="1"/>
  <c r="F28" i="34" s="1"/>
  <c r="K43" i="24"/>
  <c r="K44" i="24"/>
  <c r="K45" i="24"/>
  <c r="K46" i="24"/>
  <c r="K47" i="24"/>
  <c r="K48" i="24"/>
  <c r="K49" i="24"/>
  <c r="K50" i="24"/>
  <c r="K51" i="24"/>
  <c r="J42" i="24"/>
  <c r="J52" i="24" s="1"/>
  <c r="E28" i="34" s="1"/>
  <c r="J43" i="24"/>
  <c r="J44" i="24"/>
  <c r="J45" i="24"/>
  <c r="J46" i="24"/>
  <c r="J47" i="24"/>
  <c r="J48" i="24"/>
  <c r="J49" i="24"/>
  <c r="J50" i="24"/>
  <c r="J51" i="24"/>
  <c r="I42" i="24"/>
  <c r="I43" i="24"/>
  <c r="I44" i="24"/>
  <c r="I45" i="24"/>
  <c r="I46" i="24"/>
  <c r="I47" i="24"/>
  <c r="I48" i="24"/>
  <c r="I49" i="24"/>
  <c r="I50" i="24"/>
  <c r="I51" i="24"/>
  <c r="I52" i="24"/>
  <c r="D28" i="34" s="1"/>
  <c r="V10" i="20"/>
  <c r="D42" i="20" s="1"/>
  <c r="G42" i="20" s="1"/>
  <c r="V11" i="20"/>
  <c r="D43" i="20" s="1"/>
  <c r="G43" i="20"/>
  <c r="AG43" i="20" s="1"/>
  <c r="V12" i="20"/>
  <c r="D44" i="20" s="1"/>
  <c r="G44" i="20"/>
  <c r="V13" i="20"/>
  <c r="D45" i="20" s="1"/>
  <c r="G45" i="20"/>
  <c r="AG45" i="20" s="1"/>
  <c r="V14" i="20"/>
  <c r="D46" i="20" s="1"/>
  <c r="G46" i="20"/>
  <c r="AG47" i="20"/>
  <c r="AG48" i="20"/>
  <c r="AG49" i="20"/>
  <c r="AG50" i="20"/>
  <c r="AG51" i="20"/>
  <c r="AF47" i="20"/>
  <c r="AF48" i="20"/>
  <c r="AF49" i="20"/>
  <c r="AF50" i="20"/>
  <c r="AF51" i="20"/>
  <c r="AE47" i="20"/>
  <c r="AE48" i="20"/>
  <c r="AE49" i="20"/>
  <c r="AE50" i="20"/>
  <c r="AE51" i="20"/>
  <c r="AD47" i="20"/>
  <c r="AD48" i="20"/>
  <c r="AD49" i="20"/>
  <c r="AD50" i="20"/>
  <c r="AD51" i="20"/>
  <c r="AC47" i="20"/>
  <c r="AC48" i="20"/>
  <c r="AC49" i="20"/>
  <c r="AC50" i="20"/>
  <c r="AC51" i="20"/>
  <c r="AB47" i="20"/>
  <c r="AB48" i="20"/>
  <c r="AB49" i="20"/>
  <c r="AB50" i="20"/>
  <c r="AB51" i="20"/>
  <c r="AA43" i="20"/>
  <c r="AA44" i="20"/>
  <c r="AA46" i="20"/>
  <c r="AA47" i="20"/>
  <c r="AA48" i="20"/>
  <c r="AA49" i="20"/>
  <c r="AA50" i="20"/>
  <c r="AA51" i="20"/>
  <c r="Z43" i="20"/>
  <c r="Z44" i="20"/>
  <c r="Z46" i="20"/>
  <c r="Z47" i="20"/>
  <c r="Z48" i="20"/>
  <c r="Z49" i="20"/>
  <c r="Z50" i="20"/>
  <c r="Z51" i="20"/>
  <c r="Y43" i="20"/>
  <c r="Y44" i="20"/>
  <c r="Y46" i="20"/>
  <c r="Y47" i="20"/>
  <c r="Y48" i="20"/>
  <c r="Y49" i="20"/>
  <c r="Y50" i="20"/>
  <c r="Y51" i="20"/>
  <c r="X43" i="20"/>
  <c r="X44" i="20"/>
  <c r="X46" i="20"/>
  <c r="X47" i="20"/>
  <c r="X48" i="20"/>
  <c r="X49" i="20"/>
  <c r="X50" i="20"/>
  <c r="X51" i="20"/>
  <c r="W43" i="20"/>
  <c r="W44" i="20"/>
  <c r="W46" i="20"/>
  <c r="W47" i="20"/>
  <c r="W48" i="20"/>
  <c r="W49" i="20"/>
  <c r="W50" i="20"/>
  <c r="W51" i="20"/>
  <c r="V43" i="20"/>
  <c r="V44" i="20"/>
  <c r="V46" i="20"/>
  <c r="V47" i="20"/>
  <c r="V48" i="20"/>
  <c r="V49" i="20"/>
  <c r="V50" i="20"/>
  <c r="V51" i="20"/>
  <c r="U43" i="20"/>
  <c r="U44" i="20"/>
  <c r="U45" i="20"/>
  <c r="U46" i="20"/>
  <c r="U47" i="20"/>
  <c r="U48" i="20"/>
  <c r="U49" i="20"/>
  <c r="U50" i="20"/>
  <c r="U51" i="20"/>
  <c r="T43" i="20"/>
  <c r="T44" i="20"/>
  <c r="T45" i="20"/>
  <c r="T46" i="20"/>
  <c r="T47" i="20"/>
  <c r="T48" i="20"/>
  <c r="T49" i="20"/>
  <c r="T50" i="20"/>
  <c r="T51" i="20"/>
  <c r="S43" i="20"/>
  <c r="S44" i="20"/>
  <c r="S45" i="20"/>
  <c r="S46" i="20"/>
  <c r="S47" i="20"/>
  <c r="S48" i="20"/>
  <c r="S49" i="20"/>
  <c r="S50" i="20"/>
  <c r="S51" i="20"/>
  <c r="R43" i="20"/>
  <c r="R44" i="20"/>
  <c r="R45" i="20"/>
  <c r="R46" i="20"/>
  <c r="R47" i="20"/>
  <c r="R48" i="20"/>
  <c r="R49" i="20"/>
  <c r="R50" i="20"/>
  <c r="R51" i="20"/>
  <c r="Q43" i="20"/>
  <c r="Q44" i="20"/>
  <c r="Q45" i="20"/>
  <c r="Q46" i="20"/>
  <c r="Q47" i="20"/>
  <c r="Q48" i="20"/>
  <c r="Q49" i="20"/>
  <c r="Q50" i="20"/>
  <c r="Q51" i="20"/>
  <c r="P43" i="20"/>
  <c r="P44" i="20"/>
  <c r="P45" i="20"/>
  <c r="P46" i="20"/>
  <c r="P47" i="20"/>
  <c r="P48" i="20"/>
  <c r="P49" i="20"/>
  <c r="P50" i="20"/>
  <c r="P51" i="20"/>
  <c r="O43" i="20"/>
  <c r="O44" i="20"/>
  <c r="O45" i="20"/>
  <c r="O46" i="20"/>
  <c r="O47" i="20"/>
  <c r="O48" i="20"/>
  <c r="O49" i="20"/>
  <c r="O50" i="20"/>
  <c r="O51" i="20"/>
  <c r="N43" i="20"/>
  <c r="N44" i="20"/>
  <c r="N45" i="20"/>
  <c r="N46" i="20"/>
  <c r="N47" i="20"/>
  <c r="N48" i="20"/>
  <c r="N49" i="20"/>
  <c r="N50" i="20"/>
  <c r="N51" i="20"/>
  <c r="M43" i="20"/>
  <c r="M44" i="20"/>
  <c r="M45" i="20"/>
  <c r="M46" i="20"/>
  <c r="M47" i="20"/>
  <c r="M48" i="20"/>
  <c r="M49" i="20"/>
  <c r="M50" i="20"/>
  <c r="M51" i="20"/>
  <c r="L43" i="20"/>
  <c r="L44" i="20"/>
  <c r="L45" i="20"/>
  <c r="L46" i="20"/>
  <c r="L47" i="20"/>
  <c r="L48" i="20"/>
  <c r="L49" i="20"/>
  <c r="L50" i="20"/>
  <c r="L51" i="20"/>
  <c r="K43" i="20"/>
  <c r="K44" i="20"/>
  <c r="K45" i="20"/>
  <c r="K46" i="20"/>
  <c r="K47" i="20"/>
  <c r="K48" i="20"/>
  <c r="K49" i="20"/>
  <c r="K50" i="20"/>
  <c r="K51" i="20"/>
  <c r="J43" i="20"/>
  <c r="J44" i="20"/>
  <c r="J45" i="20"/>
  <c r="J46" i="20"/>
  <c r="J47" i="20"/>
  <c r="J48" i="20"/>
  <c r="J49" i="20"/>
  <c r="J50" i="20"/>
  <c r="J51" i="20"/>
  <c r="I43" i="20"/>
  <c r="I44" i="20"/>
  <c r="I45" i="20"/>
  <c r="I46" i="20"/>
  <c r="I47" i="20"/>
  <c r="I48" i="20"/>
  <c r="I49" i="20"/>
  <c r="I50" i="20"/>
  <c r="I51" i="20"/>
  <c r="I9" i="19"/>
  <c r="I11" i="25"/>
  <c r="I12" i="25"/>
  <c r="AK21" i="28"/>
  <c r="AK22" i="28"/>
  <c r="P10" i="24"/>
  <c r="V20" i="23"/>
  <c r="V19" i="23"/>
  <c r="V18" i="23"/>
  <c r="V17" i="23"/>
  <c r="V16" i="23"/>
  <c r="D47" i="23" s="1"/>
  <c r="G47" i="23" s="1"/>
  <c r="V11" i="23"/>
  <c r="V12" i="23"/>
  <c r="V13" i="23"/>
  <c r="V14" i="23"/>
  <c r="V10" i="23"/>
  <c r="L18" i="18"/>
  <c r="J12" i="18"/>
  <c r="J13" i="18"/>
  <c r="G12" i="18"/>
  <c r="K12" i="18" s="1"/>
  <c r="P20" i="26"/>
  <c r="P19" i="26"/>
  <c r="P18" i="26"/>
  <c r="P17" i="26"/>
  <c r="P16" i="26"/>
  <c r="P11" i="26"/>
  <c r="P12" i="26"/>
  <c r="P13" i="26"/>
  <c r="P14" i="26"/>
  <c r="P10" i="26"/>
  <c r="J21" i="23"/>
  <c r="K21" i="23"/>
  <c r="L21" i="23"/>
  <c r="M21" i="23"/>
  <c r="P20" i="23"/>
  <c r="P19" i="23"/>
  <c r="P18" i="23"/>
  <c r="P17" i="23"/>
  <c r="P16" i="23"/>
  <c r="P10" i="23"/>
  <c r="P11" i="23"/>
  <c r="P12" i="23"/>
  <c r="P13" i="23"/>
  <c r="P14" i="23"/>
  <c r="N20" i="23"/>
  <c r="N19" i="23"/>
  <c r="N18" i="23"/>
  <c r="N17" i="23"/>
  <c r="N16" i="23"/>
  <c r="N11" i="23"/>
  <c r="N12" i="23"/>
  <c r="N13" i="23"/>
  <c r="N14" i="23"/>
  <c r="N10" i="23"/>
  <c r="K8" i="23"/>
  <c r="S8" i="23" s="1"/>
  <c r="L8" i="23"/>
  <c r="M8" i="23"/>
  <c r="U8" i="23" s="1"/>
  <c r="J8" i="23"/>
  <c r="R8" i="23" s="1"/>
  <c r="G21" i="30"/>
  <c r="E31" i="30"/>
  <c r="E30" i="30"/>
  <c r="AW24" i="30"/>
  <c r="AV24" i="30"/>
  <c r="AU24" i="30"/>
  <c r="F21" i="30"/>
  <c r="H21" i="30"/>
  <c r="G13" i="18"/>
  <c r="K13" i="18" s="1"/>
  <c r="F12" i="18"/>
  <c r="F13" i="18"/>
  <c r="F11" i="18"/>
  <c r="AI11" i="28"/>
  <c r="AJ11" i="28" s="1"/>
  <c r="AI12" i="28"/>
  <c r="AJ12" i="28" s="1"/>
  <c r="AI13" i="28"/>
  <c r="AJ13" i="28" s="1"/>
  <c r="AI19" i="28"/>
  <c r="AI10" i="28"/>
  <c r="AJ10" i="28" s="1"/>
  <c r="AH11" i="26"/>
  <c r="AH12" i="26"/>
  <c r="AH13" i="26"/>
  <c r="AH14" i="26"/>
  <c r="AI12" i="25"/>
  <c r="AI11" i="21"/>
  <c r="AI12" i="21"/>
  <c r="AI13" i="21"/>
  <c r="AI10" i="21"/>
  <c r="Q10" i="21"/>
  <c r="AH11" i="20"/>
  <c r="AH12" i="20"/>
  <c r="AH13" i="20"/>
  <c r="AH14" i="20"/>
  <c r="AH11" i="22"/>
  <c r="AH12" i="22"/>
  <c r="AH13" i="22"/>
  <c r="AH14" i="22"/>
  <c r="H21" i="25"/>
  <c r="V20" i="26"/>
  <c r="V19" i="26"/>
  <c r="V18" i="26"/>
  <c r="V17" i="26"/>
  <c r="V16" i="26"/>
  <c r="D47" i="26" s="1"/>
  <c r="G47" i="26" s="1"/>
  <c r="W22" i="28"/>
  <c r="D63" i="28" s="1"/>
  <c r="G63" i="28" s="1"/>
  <c r="W23" i="28"/>
  <c r="D64" i="28" s="1"/>
  <c r="G64" i="28" s="1"/>
  <c r="W24" i="28"/>
  <c r="D65" i="28" s="1"/>
  <c r="G65" i="28" s="1"/>
  <c r="W25" i="28"/>
  <c r="W21" i="28"/>
  <c r="D62" i="28" s="1"/>
  <c r="G62" i="28" s="1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F105" i="29"/>
  <c r="F104" i="29"/>
  <c r="F103" i="29"/>
  <c r="C37" i="28"/>
  <c r="C55" i="28" s="1"/>
  <c r="E48" i="28"/>
  <c r="C48" i="28"/>
  <c r="C66" i="28" s="1"/>
  <c r="E47" i="28"/>
  <c r="C47" i="28"/>
  <c r="C65" i="28" s="1"/>
  <c r="E46" i="28"/>
  <c r="C46" i="28"/>
  <c r="C64" i="28" s="1"/>
  <c r="E45" i="28"/>
  <c r="C45" i="28"/>
  <c r="C63" i="28" s="1"/>
  <c r="E44" i="28"/>
  <c r="C44" i="28"/>
  <c r="C62" i="28" s="1"/>
  <c r="F43" i="28"/>
  <c r="C43" i="28"/>
  <c r="C61" i="28" s="1"/>
  <c r="F37" i="28"/>
  <c r="F36" i="28"/>
  <c r="C36" i="28"/>
  <c r="C54" i="28"/>
  <c r="F35" i="28"/>
  <c r="C35" i="28"/>
  <c r="C53" i="28" s="1"/>
  <c r="F34" i="28"/>
  <c r="C34" i="28"/>
  <c r="C52" i="28"/>
  <c r="AD26" i="28"/>
  <c r="AC26" i="28"/>
  <c r="V26" i="28"/>
  <c r="U26" i="28"/>
  <c r="T26" i="28"/>
  <c r="S26" i="28"/>
  <c r="R26" i="28"/>
  <c r="J26" i="28"/>
  <c r="D66" i="28"/>
  <c r="G66" i="28" s="1"/>
  <c r="O25" i="28"/>
  <c r="Y25" i="28" s="1"/>
  <c r="O24" i="28"/>
  <c r="Y24" i="28" s="1"/>
  <c r="O23" i="28"/>
  <c r="Y23" i="28" s="1"/>
  <c r="O22" i="28"/>
  <c r="Y22" i="28" s="1"/>
  <c r="O21" i="28"/>
  <c r="Y21" i="28" s="1"/>
  <c r="O19" i="28"/>
  <c r="Y19" i="28" s="1"/>
  <c r="O13" i="28"/>
  <c r="Y13" i="28" s="1"/>
  <c r="O12" i="28"/>
  <c r="Y12" i="28" s="1"/>
  <c r="AK11" i="28"/>
  <c r="O11" i="28"/>
  <c r="O10" i="28"/>
  <c r="W8" i="28"/>
  <c r="J8" i="28"/>
  <c r="N17" i="26"/>
  <c r="N18" i="26"/>
  <c r="N19" i="26"/>
  <c r="N20" i="26"/>
  <c r="N16" i="26"/>
  <c r="N11" i="26"/>
  <c r="N12" i="26"/>
  <c r="N13" i="26"/>
  <c r="N14" i="26"/>
  <c r="N10" i="26"/>
  <c r="D46" i="25"/>
  <c r="D45" i="25"/>
  <c r="Y11" i="28"/>
  <c r="AK23" i="28"/>
  <c r="D46" i="28"/>
  <c r="G46" i="28" s="1"/>
  <c r="AK25" i="28"/>
  <c r="D48" i="28"/>
  <c r="G48" i="28" s="1"/>
  <c r="AK13" i="28"/>
  <c r="AI63" i="28"/>
  <c r="AI64" i="28"/>
  <c r="AI66" i="28"/>
  <c r="AI65" i="28"/>
  <c r="AK19" i="28"/>
  <c r="AK12" i="28"/>
  <c r="AI62" i="28"/>
  <c r="J12" i="19"/>
  <c r="I8" i="19"/>
  <c r="I7" i="19"/>
  <c r="I6" i="19"/>
  <c r="AI46" i="28"/>
  <c r="AI44" i="28"/>
  <c r="AI48" i="28"/>
  <c r="AI47" i="28"/>
  <c r="AI45" i="28"/>
  <c r="AY20" i="18"/>
  <c r="AZ20" i="18"/>
  <c r="BA20" i="18"/>
  <c r="E55" i="3"/>
  <c r="AJ30" i="21"/>
  <c r="AK30" i="21"/>
  <c r="AJ31" i="21"/>
  <c r="AK31" i="21"/>
  <c r="AJ32" i="21"/>
  <c r="AK32" i="21"/>
  <c r="AJ33" i="21"/>
  <c r="AK33" i="21"/>
  <c r="AJ30" i="26"/>
  <c r="AK30" i="26"/>
  <c r="AJ31" i="26"/>
  <c r="AK31" i="26"/>
  <c r="AJ32" i="26"/>
  <c r="AK32" i="26"/>
  <c r="AJ33" i="26"/>
  <c r="AK33" i="26"/>
  <c r="AK29" i="26"/>
  <c r="AJ29" i="26"/>
  <c r="AI46" i="25"/>
  <c r="E32" i="25"/>
  <c r="E33" i="25"/>
  <c r="E34" i="25"/>
  <c r="E35" i="25"/>
  <c r="E36" i="25"/>
  <c r="E37" i="25"/>
  <c r="C32" i="25"/>
  <c r="C33" i="25"/>
  <c r="C46" i="25"/>
  <c r="C34" i="25"/>
  <c r="C35" i="25"/>
  <c r="C48" i="25"/>
  <c r="C36" i="25"/>
  <c r="C37" i="25"/>
  <c r="C50" i="25" s="1"/>
  <c r="AE12" i="25"/>
  <c r="AE11" i="25"/>
  <c r="E30" i="25"/>
  <c r="E31" i="25"/>
  <c r="D51" i="25"/>
  <c r="G51" i="25"/>
  <c r="AI50" i="25"/>
  <c r="D49" i="25"/>
  <c r="G49" i="25"/>
  <c r="G46" i="25"/>
  <c r="G45" i="25"/>
  <c r="E38" i="25"/>
  <c r="C38" i="25"/>
  <c r="C51" i="25"/>
  <c r="C49" i="25"/>
  <c r="C47" i="25"/>
  <c r="C45" i="25"/>
  <c r="C31" i="25"/>
  <c r="C44" i="25" s="1"/>
  <c r="C30" i="25"/>
  <c r="C43" i="25"/>
  <c r="C29" i="25"/>
  <c r="C42" i="25" s="1"/>
  <c r="AF11" i="25"/>
  <c r="AF12" i="25"/>
  <c r="V21" i="25"/>
  <c r="U21" i="25"/>
  <c r="T21" i="25"/>
  <c r="S21" i="25"/>
  <c r="R21" i="25"/>
  <c r="X20" i="25"/>
  <c r="AK20" i="25" s="1"/>
  <c r="X19" i="25"/>
  <c r="D37" i="25" s="1"/>
  <c r="G37" i="25" s="1"/>
  <c r="D50" i="25"/>
  <c r="G50" i="25"/>
  <c r="X18" i="25"/>
  <c r="D36" i="25" s="1"/>
  <c r="G36" i="25" s="1"/>
  <c r="X17" i="25"/>
  <c r="D35" i="25" s="1"/>
  <c r="G35" i="25" s="1"/>
  <c r="D48" i="25"/>
  <c r="G48" i="25"/>
  <c r="X16" i="25"/>
  <c r="D34" i="25" s="1"/>
  <c r="G34" i="25" s="1"/>
  <c r="D47" i="25"/>
  <c r="G47" i="25" s="1"/>
  <c r="X15" i="25"/>
  <c r="X14" i="25"/>
  <c r="AK14" i="25" s="1"/>
  <c r="W8" i="25"/>
  <c r="N21" i="25"/>
  <c r="M21" i="25"/>
  <c r="L21" i="25"/>
  <c r="K21" i="25"/>
  <c r="J21" i="25"/>
  <c r="Q20" i="25"/>
  <c r="Y20" i="25"/>
  <c r="Q19" i="25"/>
  <c r="Y19" i="25"/>
  <c r="Q18" i="25"/>
  <c r="Y18" i="25"/>
  <c r="Q17" i="25"/>
  <c r="Y17" i="25"/>
  <c r="Q16" i="25"/>
  <c r="Y16" i="25"/>
  <c r="Q15" i="25"/>
  <c r="Y15" i="25"/>
  <c r="Q14" i="25"/>
  <c r="Y14" i="25"/>
  <c r="Q10" i="25"/>
  <c r="N8" i="25"/>
  <c r="V8" i="25" s="1"/>
  <c r="M8" i="25"/>
  <c r="U8" i="25" s="1"/>
  <c r="L8" i="25"/>
  <c r="T8" i="25" s="1"/>
  <c r="K8" i="25"/>
  <c r="J8" i="25"/>
  <c r="R8" i="25" s="1"/>
  <c r="E6" i="4"/>
  <c r="AI49" i="25"/>
  <c r="AI45" i="25"/>
  <c r="AI51" i="25"/>
  <c r="AI47" i="25"/>
  <c r="AI48" i="25"/>
  <c r="P19" i="28"/>
  <c r="F55" i="3"/>
  <c r="G55" i="3"/>
  <c r="H55" i="3"/>
  <c r="E38" i="26"/>
  <c r="C38" i="26"/>
  <c r="C51" i="26" s="1"/>
  <c r="E37" i="26"/>
  <c r="C37" i="26"/>
  <c r="C50" i="26" s="1"/>
  <c r="E36" i="26"/>
  <c r="C36" i="26"/>
  <c r="C49" i="26"/>
  <c r="E35" i="26"/>
  <c r="C35" i="26"/>
  <c r="C48" i="26"/>
  <c r="E34" i="26"/>
  <c r="C34" i="26"/>
  <c r="C47" i="26"/>
  <c r="F33" i="26"/>
  <c r="C33" i="26"/>
  <c r="C46" i="26" s="1"/>
  <c r="F32" i="26"/>
  <c r="C32" i="26"/>
  <c r="C45" i="26"/>
  <c r="F31" i="26"/>
  <c r="C31" i="26"/>
  <c r="C44" i="26"/>
  <c r="F30" i="26"/>
  <c r="C30" i="26"/>
  <c r="C43" i="26" s="1"/>
  <c r="C29" i="26"/>
  <c r="C42" i="26"/>
  <c r="AC21" i="26"/>
  <c r="AB21" i="26"/>
  <c r="U21" i="26"/>
  <c r="T21" i="26"/>
  <c r="S21" i="26"/>
  <c r="R21" i="26"/>
  <c r="Q21" i="26"/>
  <c r="W20" i="26"/>
  <c r="D38" i="26" s="1"/>
  <c r="G38" i="26" s="1"/>
  <c r="D51" i="26"/>
  <c r="G51" i="26" s="1"/>
  <c r="W19" i="26"/>
  <c r="D50" i="26"/>
  <c r="G50" i="26" s="1"/>
  <c r="W18" i="26"/>
  <c r="D36" i="26" s="1"/>
  <c r="G36" i="26" s="1"/>
  <c r="D49" i="26"/>
  <c r="G49" i="26" s="1"/>
  <c r="W17" i="26"/>
  <c r="D35" i="26" s="1"/>
  <c r="G35" i="26" s="1"/>
  <c r="D48" i="26"/>
  <c r="G48" i="26" s="1"/>
  <c r="W16" i="26"/>
  <c r="V8" i="26"/>
  <c r="AH48" i="26"/>
  <c r="AH50" i="26"/>
  <c r="AH49" i="26"/>
  <c r="AH51" i="26"/>
  <c r="I21" i="26"/>
  <c r="X20" i="26"/>
  <c r="X19" i="26"/>
  <c r="X18" i="26"/>
  <c r="X17" i="26"/>
  <c r="X16" i="26"/>
  <c r="X14" i="26"/>
  <c r="X13" i="26"/>
  <c r="X12" i="26"/>
  <c r="X11" i="26"/>
  <c r="X10" i="26"/>
  <c r="N21" i="26"/>
  <c r="F30" i="24"/>
  <c r="F31" i="24"/>
  <c r="F32" i="24"/>
  <c r="F33" i="24"/>
  <c r="F34" i="24"/>
  <c r="F35" i="24"/>
  <c r="F36" i="24"/>
  <c r="F37" i="24"/>
  <c r="F38" i="24"/>
  <c r="E30" i="24"/>
  <c r="E31" i="24"/>
  <c r="E32" i="24"/>
  <c r="E33" i="24"/>
  <c r="E34" i="24"/>
  <c r="E35" i="24"/>
  <c r="E36" i="24"/>
  <c r="E37" i="24"/>
  <c r="E38" i="24"/>
  <c r="C34" i="24"/>
  <c r="C47" i="24" s="1"/>
  <c r="C35" i="24"/>
  <c r="C48" i="24" s="1"/>
  <c r="C36" i="24"/>
  <c r="C49" i="24"/>
  <c r="C37" i="24"/>
  <c r="C50" i="24"/>
  <c r="C38" i="24"/>
  <c r="C51" i="24"/>
  <c r="C33" i="24"/>
  <c r="C46" i="24" s="1"/>
  <c r="C32" i="24"/>
  <c r="C45" i="24" s="1"/>
  <c r="C31" i="24"/>
  <c r="C44" i="24" s="1"/>
  <c r="C30" i="24"/>
  <c r="C43" i="24" s="1"/>
  <c r="F29" i="24"/>
  <c r="E29" i="24"/>
  <c r="C29" i="24"/>
  <c r="C42" i="24" s="1"/>
  <c r="AB20" i="24"/>
  <c r="AC20" i="24"/>
  <c r="U20" i="24"/>
  <c r="T20" i="24"/>
  <c r="S20" i="24"/>
  <c r="R20" i="24"/>
  <c r="Q20" i="24"/>
  <c r="J20" i="24"/>
  <c r="K20" i="24"/>
  <c r="L20" i="24"/>
  <c r="M20" i="24"/>
  <c r="I20" i="24"/>
  <c r="N15" i="24"/>
  <c r="X15" i="24" s="1"/>
  <c r="P15" i="24"/>
  <c r="V15" i="24"/>
  <c r="D47" i="24"/>
  <c r="G47" i="24" s="1"/>
  <c r="W15" i="24"/>
  <c r="D34" i="24" s="1"/>
  <c r="G34" i="24" s="1"/>
  <c r="N16" i="24"/>
  <c r="X16" i="24"/>
  <c r="P16" i="24"/>
  <c r="V16" i="24"/>
  <c r="D48" i="24" s="1"/>
  <c r="G48" i="24" s="1"/>
  <c r="W16" i="24"/>
  <c r="D35" i="24" s="1"/>
  <c r="G35" i="24" s="1"/>
  <c r="N17" i="24"/>
  <c r="X17" i="24" s="1"/>
  <c r="P17" i="24"/>
  <c r="V17" i="24"/>
  <c r="D49" i="24"/>
  <c r="G49" i="24" s="1"/>
  <c r="W17" i="24"/>
  <c r="AI17" i="24" s="1"/>
  <c r="N18" i="24"/>
  <c r="X18" i="24"/>
  <c r="P18" i="24"/>
  <c r="V18" i="24"/>
  <c r="D50" i="24" s="1"/>
  <c r="G50" i="24" s="1"/>
  <c r="W18" i="24"/>
  <c r="AI18" i="24" s="1"/>
  <c r="N19" i="24"/>
  <c r="X19" i="24" s="1"/>
  <c r="P19" i="24"/>
  <c r="V19" i="24"/>
  <c r="D51" i="24"/>
  <c r="G51" i="24" s="1"/>
  <c r="W19" i="24"/>
  <c r="D38" i="24" s="1"/>
  <c r="G38" i="24" s="1"/>
  <c r="W14" i="24"/>
  <c r="D33" i="24" s="1"/>
  <c r="G33" i="24" s="1"/>
  <c r="V14" i="24"/>
  <c r="D46" i="24" s="1"/>
  <c r="G46" i="24"/>
  <c r="W13" i="24"/>
  <c r="D32" i="24" s="1"/>
  <c r="G32" i="24" s="1"/>
  <c r="V13" i="24"/>
  <c r="D45" i="24" s="1"/>
  <c r="G45" i="24" s="1"/>
  <c r="W12" i="24"/>
  <c r="AI12" i="24" s="1"/>
  <c r="V12" i="24"/>
  <c r="D44" i="24"/>
  <c r="G44" i="24" s="1"/>
  <c r="W11" i="24"/>
  <c r="D30" i="24" s="1"/>
  <c r="G30" i="24" s="1"/>
  <c r="V11" i="24"/>
  <c r="D43" i="24"/>
  <c r="G43" i="24" s="1"/>
  <c r="W10" i="24"/>
  <c r="AI10" i="24" s="1"/>
  <c r="V10" i="24"/>
  <c r="V8" i="24"/>
  <c r="P14" i="24"/>
  <c r="N14" i="24"/>
  <c r="X14" i="24"/>
  <c r="P13" i="24"/>
  <c r="N13" i="24"/>
  <c r="X13" i="24" s="1"/>
  <c r="P12" i="24"/>
  <c r="N12" i="24"/>
  <c r="X12" i="24"/>
  <c r="P11" i="24"/>
  <c r="N11" i="24"/>
  <c r="X11" i="24" s="1"/>
  <c r="N10" i="24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Q51" i="23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N50" i="23"/>
  <c r="J50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S49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Q47" i="23"/>
  <c r="M47" i="23"/>
  <c r="I47" i="23"/>
  <c r="E38" i="23"/>
  <c r="C38" i="23"/>
  <c r="C51" i="23" s="1"/>
  <c r="E37" i="23"/>
  <c r="C37" i="23"/>
  <c r="C50" i="23"/>
  <c r="E36" i="23"/>
  <c r="C36" i="23"/>
  <c r="C49" i="23" s="1"/>
  <c r="E35" i="23"/>
  <c r="C35" i="23"/>
  <c r="C48" i="23" s="1"/>
  <c r="E34" i="23"/>
  <c r="C34" i="23"/>
  <c r="C47" i="23"/>
  <c r="F33" i="23"/>
  <c r="C33" i="23"/>
  <c r="C46" i="23"/>
  <c r="F32" i="23"/>
  <c r="C32" i="23"/>
  <c r="C45" i="23" s="1"/>
  <c r="F31" i="23"/>
  <c r="C31" i="23"/>
  <c r="C44" i="23"/>
  <c r="F30" i="23"/>
  <c r="C30" i="23"/>
  <c r="C43" i="23" s="1"/>
  <c r="C29" i="23"/>
  <c r="C42" i="23" s="1"/>
  <c r="AC21" i="23"/>
  <c r="AB21" i="23"/>
  <c r="U21" i="23"/>
  <c r="T21" i="23"/>
  <c r="S21" i="23"/>
  <c r="R21" i="23"/>
  <c r="Q21" i="23"/>
  <c r="I21" i="23"/>
  <c r="W20" i="23"/>
  <c r="AJ20" i="23" s="1"/>
  <c r="X20" i="23"/>
  <c r="W19" i="23"/>
  <c r="AJ19" i="23" s="1"/>
  <c r="W18" i="23"/>
  <c r="AJ18" i="23" s="1"/>
  <c r="W17" i="23"/>
  <c r="AJ17" i="23" s="1"/>
  <c r="W16" i="23"/>
  <c r="AJ16" i="23" s="1"/>
  <c r="X14" i="23"/>
  <c r="X13" i="23"/>
  <c r="V8" i="23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AH47" i="21" s="1"/>
  <c r="J47" i="21"/>
  <c r="I47" i="21"/>
  <c r="E37" i="21"/>
  <c r="C37" i="21"/>
  <c r="C49" i="21" s="1"/>
  <c r="E36" i="21"/>
  <c r="C36" i="21"/>
  <c r="C48" i="21" s="1"/>
  <c r="E35" i="21"/>
  <c r="C35" i="21"/>
  <c r="C47" i="21" s="1"/>
  <c r="C34" i="21"/>
  <c r="C46" i="21" s="1"/>
  <c r="F33" i="21"/>
  <c r="C33" i="21"/>
  <c r="C45" i="21" s="1"/>
  <c r="F32" i="21"/>
  <c r="C32" i="21"/>
  <c r="C44" i="21" s="1"/>
  <c r="F31" i="21"/>
  <c r="C31" i="21"/>
  <c r="C43" i="21"/>
  <c r="F30" i="21"/>
  <c r="C30" i="21"/>
  <c r="C42" i="21" s="1"/>
  <c r="F29" i="21"/>
  <c r="C29" i="21"/>
  <c r="C41" i="21" s="1"/>
  <c r="AD21" i="21"/>
  <c r="AC21" i="21"/>
  <c r="V21" i="21"/>
  <c r="U21" i="21"/>
  <c r="T21" i="21"/>
  <c r="S21" i="21"/>
  <c r="R21" i="21"/>
  <c r="X20" i="21"/>
  <c r="AK20" i="21" s="1"/>
  <c r="W20" i="21"/>
  <c r="D49" i="21" s="1"/>
  <c r="G49" i="21" s="1"/>
  <c r="X19" i="21"/>
  <c r="AK19" i="21" s="1"/>
  <c r="W19" i="21"/>
  <c r="D48" i="21" s="1"/>
  <c r="G48" i="21" s="1"/>
  <c r="AE48" i="21" s="1"/>
  <c r="X17" i="21"/>
  <c r="AK17" i="21" s="1"/>
  <c r="W17" i="21"/>
  <c r="D47" i="21" s="1"/>
  <c r="G47" i="21" s="1"/>
  <c r="W16" i="21"/>
  <c r="D46" i="21" s="1"/>
  <c r="G46" i="21" s="1"/>
  <c r="AD46" i="21"/>
  <c r="W15" i="21"/>
  <c r="D45" i="21" s="1"/>
  <c r="G45" i="21" s="1"/>
  <c r="W13" i="21"/>
  <c r="D44" i="21" s="1"/>
  <c r="G44" i="21" s="1"/>
  <c r="W12" i="21"/>
  <c r="D43" i="21" s="1"/>
  <c r="G43" i="21" s="1"/>
  <c r="W11" i="21"/>
  <c r="D42" i="21" s="1"/>
  <c r="G42" i="21" s="1"/>
  <c r="W10" i="21"/>
  <c r="D41" i="21" s="1"/>
  <c r="G41" i="21" s="1"/>
  <c r="W8" i="21"/>
  <c r="N21" i="21"/>
  <c r="M21" i="21"/>
  <c r="L21" i="21"/>
  <c r="K21" i="21"/>
  <c r="J21" i="21"/>
  <c r="O20" i="21"/>
  <c r="Y20" i="21" s="1"/>
  <c r="Q19" i="21"/>
  <c r="O19" i="21"/>
  <c r="Y19" i="21" s="1"/>
  <c r="Q17" i="21"/>
  <c r="O17" i="21"/>
  <c r="Y17" i="21" s="1"/>
  <c r="Q16" i="21"/>
  <c r="O16" i="21"/>
  <c r="Y16" i="21" s="1"/>
  <c r="Q15" i="21"/>
  <c r="O15" i="21"/>
  <c r="Y15" i="21" s="1"/>
  <c r="Q13" i="21"/>
  <c r="O13" i="21"/>
  <c r="Y13" i="21" s="1"/>
  <c r="Q12" i="21"/>
  <c r="O12" i="21"/>
  <c r="Y12" i="21" s="1"/>
  <c r="Q11" i="21"/>
  <c r="O11" i="21"/>
  <c r="Y11" i="21" s="1"/>
  <c r="O10" i="21"/>
  <c r="E38" i="20"/>
  <c r="C38" i="20"/>
  <c r="C51" i="20"/>
  <c r="E37" i="20"/>
  <c r="C37" i="20"/>
  <c r="C50" i="20" s="1"/>
  <c r="E36" i="20"/>
  <c r="C36" i="20"/>
  <c r="C49" i="20"/>
  <c r="E35" i="20"/>
  <c r="C35" i="20"/>
  <c r="C48" i="20" s="1"/>
  <c r="E34" i="20"/>
  <c r="C34" i="20"/>
  <c r="C47" i="20"/>
  <c r="F33" i="20"/>
  <c r="C33" i="20"/>
  <c r="C46" i="20" s="1"/>
  <c r="F32" i="20"/>
  <c r="C32" i="20"/>
  <c r="C45" i="20"/>
  <c r="F31" i="20"/>
  <c r="C31" i="20"/>
  <c r="C44" i="20" s="1"/>
  <c r="F30" i="20"/>
  <c r="C30" i="20"/>
  <c r="C43" i="20"/>
  <c r="C29" i="20"/>
  <c r="C42" i="20"/>
  <c r="AC21" i="20"/>
  <c r="AB21" i="20"/>
  <c r="W20" i="20"/>
  <c r="AJ20" i="20" s="1"/>
  <c r="W19" i="20"/>
  <c r="AJ19" i="20" s="1"/>
  <c r="W18" i="20"/>
  <c r="AJ18" i="20" s="1"/>
  <c r="W17" i="20"/>
  <c r="AJ17" i="20" s="1"/>
  <c r="W16" i="20"/>
  <c r="AJ16" i="20" s="1"/>
  <c r="U21" i="20"/>
  <c r="T21" i="20"/>
  <c r="S21" i="20"/>
  <c r="R21" i="20"/>
  <c r="Q21" i="20"/>
  <c r="V20" i="20"/>
  <c r="D51" i="20"/>
  <c r="G51" i="20" s="1"/>
  <c r="V19" i="20"/>
  <c r="D50" i="20" s="1"/>
  <c r="G50" i="20" s="1"/>
  <c r="V18" i="20"/>
  <c r="D49" i="20"/>
  <c r="G49" i="20" s="1"/>
  <c r="V17" i="20"/>
  <c r="D48" i="20" s="1"/>
  <c r="G48" i="20" s="1"/>
  <c r="V16" i="20"/>
  <c r="D47" i="20"/>
  <c r="G47" i="20" s="1"/>
  <c r="V8" i="20"/>
  <c r="P10" i="20"/>
  <c r="N10" i="20"/>
  <c r="M21" i="20"/>
  <c r="L21" i="20"/>
  <c r="K21" i="20"/>
  <c r="J21" i="20"/>
  <c r="I21" i="20"/>
  <c r="P20" i="20"/>
  <c r="N20" i="20"/>
  <c r="X20" i="20"/>
  <c r="P19" i="20"/>
  <c r="N19" i="20"/>
  <c r="X19" i="20" s="1"/>
  <c r="P18" i="20"/>
  <c r="N18" i="20"/>
  <c r="X18" i="20"/>
  <c r="P17" i="20"/>
  <c r="N17" i="20"/>
  <c r="X17" i="20" s="1"/>
  <c r="P16" i="20"/>
  <c r="N16" i="20"/>
  <c r="P14" i="20"/>
  <c r="N14" i="20"/>
  <c r="X14" i="20"/>
  <c r="P13" i="20"/>
  <c r="N13" i="20"/>
  <c r="X13" i="20" s="1"/>
  <c r="P12" i="20"/>
  <c r="N12" i="20"/>
  <c r="X12" i="20"/>
  <c r="P11" i="20"/>
  <c r="N11" i="20"/>
  <c r="X11" i="20" s="1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J47" i="22"/>
  <c r="K47" i="22"/>
  <c r="L47" i="22"/>
  <c r="M47" i="22"/>
  <c r="N47" i="22"/>
  <c r="O47" i="22"/>
  <c r="P47" i="22"/>
  <c r="Q47" i="22"/>
  <c r="R47" i="22"/>
  <c r="S47" i="22"/>
  <c r="T47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AG47" i="22"/>
  <c r="I46" i="22"/>
  <c r="I47" i="22"/>
  <c r="F30" i="22"/>
  <c r="F31" i="22"/>
  <c r="F32" i="22"/>
  <c r="F33" i="22"/>
  <c r="W18" i="22"/>
  <c r="AJ18" i="22" s="1"/>
  <c r="W17" i="22"/>
  <c r="AJ17" i="22" s="1"/>
  <c r="W16" i="22"/>
  <c r="AJ13" i="22"/>
  <c r="V18" i="22"/>
  <c r="D47" i="22" s="1"/>
  <c r="G47" i="22" s="1"/>
  <c r="V17" i="22"/>
  <c r="D46" i="22" s="1"/>
  <c r="G46" i="22" s="1"/>
  <c r="V16" i="22"/>
  <c r="D45" i="22" s="1"/>
  <c r="G45" i="22" s="1"/>
  <c r="AC45" i="22" s="1"/>
  <c r="V14" i="22"/>
  <c r="D44" i="22" s="1"/>
  <c r="G44" i="22" s="1"/>
  <c r="V13" i="22"/>
  <c r="D43" i="22" s="1"/>
  <c r="G43" i="22" s="1"/>
  <c r="V12" i="22"/>
  <c r="D42" i="22" s="1"/>
  <c r="G42" i="22" s="1"/>
  <c r="V11" i="22"/>
  <c r="D41" i="22" s="1"/>
  <c r="G41" i="22" s="1"/>
  <c r="N41" i="22" s="1"/>
  <c r="V10" i="22"/>
  <c r="D40" i="22" s="1"/>
  <c r="G40" i="22" s="1"/>
  <c r="V8" i="22"/>
  <c r="P18" i="22"/>
  <c r="P17" i="22"/>
  <c r="P16" i="22"/>
  <c r="P11" i="22"/>
  <c r="P12" i="22"/>
  <c r="P13" i="22"/>
  <c r="P14" i="22"/>
  <c r="P10" i="22"/>
  <c r="N18" i="22"/>
  <c r="X18" i="22" s="1"/>
  <c r="N17" i="22"/>
  <c r="X17" i="22" s="1"/>
  <c r="N16" i="22"/>
  <c r="X16" i="22" s="1"/>
  <c r="N11" i="22"/>
  <c r="X11" i="22" s="1"/>
  <c r="N12" i="22"/>
  <c r="X12" i="22" s="1"/>
  <c r="N13" i="22"/>
  <c r="X13" i="22" s="1"/>
  <c r="N14" i="22"/>
  <c r="X14" i="22" s="1"/>
  <c r="N10" i="22"/>
  <c r="F8" i="19"/>
  <c r="F11" i="19"/>
  <c r="E10" i="19"/>
  <c r="D10" i="19"/>
  <c r="E9" i="19"/>
  <c r="D9" i="19"/>
  <c r="E7" i="19"/>
  <c r="D7" i="19"/>
  <c r="F7" i="19" s="1"/>
  <c r="J7" i="19" s="1"/>
  <c r="D55" i="3"/>
  <c r="X10" i="24"/>
  <c r="D46" i="23"/>
  <c r="G46" i="23" s="1"/>
  <c r="D45" i="23"/>
  <c r="G45" i="23"/>
  <c r="Y10" i="21"/>
  <c r="X16" i="20"/>
  <c r="X10" i="20"/>
  <c r="D51" i="23"/>
  <c r="G51" i="23"/>
  <c r="L46" i="21"/>
  <c r="P46" i="21"/>
  <c r="T46" i="21"/>
  <c r="X46" i="21"/>
  <c r="AB46" i="21"/>
  <c r="AF46" i="21"/>
  <c r="K46" i="21"/>
  <c r="S46" i="21"/>
  <c r="AE46" i="21"/>
  <c r="I46" i="21"/>
  <c r="M46" i="21"/>
  <c r="Q46" i="21"/>
  <c r="U46" i="21"/>
  <c r="Y46" i="21"/>
  <c r="AC46" i="21"/>
  <c r="AG46" i="21"/>
  <c r="O46" i="21"/>
  <c r="W46" i="21"/>
  <c r="AA46" i="21"/>
  <c r="J46" i="21"/>
  <c r="N46" i="21"/>
  <c r="R46" i="21"/>
  <c r="V46" i="21"/>
  <c r="Z46" i="21"/>
  <c r="F9" i="19"/>
  <c r="J9" i="19" s="1"/>
  <c r="F10" i="19"/>
  <c r="N20" i="24"/>
  <c r="D42" i="24"/>
  <c r="G42" i="24" s="1"/>
  <c r="V20" i="24"/>
  <c r="AH21" i="23"/>
  <c r="S48" i="23"/>
  <c r="O48" i="23"/>
  <c r="K48" i="23"/>
  <c r="R48" i="23"/>
  <c r="N48" i="23"/>
  <c r="J48" i="23"/>
  <c r="Q48" i="23"/>
  <c r="M48" i="23"/>
  <c r="I48" i="23"/>
  <c r="L48" i="23"/>
  <c r="R49" i="23"/>
  <c r="N49" i="23"/>
  <c r="J49" i="23"/>
  <c r="Q49" i="23"/>
  <c r="M49" i="23"/>
  <c r="I49" i="23"/>
  <c r="T49" i="23"/>
  <c r="P49" i="23"/>
  <c r="L49" i="23"/>
  <c r="T51" i="23"/>
  <c r="P51" i="23"/>
  <c r="L51" i="23"/>
  <c r="S51" i="23"/>
  <c r="O51" i="23"/>
  <c r="AH51" i="23" s="1"/>
  <c r="K51" i="23"/>
  <c r="R51" i="23"/>
  <c r="N51" i="23"/>
  <c r="J51" i="23"/>
  <c r="P48" i="23"/>
  <c r="K49" i="23"/>
  <c r="I51" i="23"/>
  <c r="T48" i="23"/>
  <c r="O49" i="23"/>
  <c r="Q50" i="23"/>
  <c r="M50" i="23"/>
  <c r="I50" i="23"/>
  <c r="T50" i="23"/>
  <c r="P50" i="23"/>
  <c r="L50" i="23"/>
  <c r="S50" i="23"/>
  <c r="O50" i="23"/>
  <c r="K50" i="23"/>
  <c r="M51" i="23"/>
  <c r="J47" i="23"/>
  <c r="N47" i="23"/>
  <c r="R47" i="23"/>
  <c r="K47" i="23"/>
  <c r="O47" i="23"/>
  <c r="S47" i="23"/>
  <c r="L47" i="23"/>
  <c r="P47" i="23"/>
  <c r="V21" i="20"/>
  <c r="N21" i="20"/>
  <c r="E26" i="5"/>
  <c r="T47" i="23"/>
  <c r="X16" i="23"/>
  <c r="AG45" i="23"/>
  <c r="X45" i="23"/>
  <c r="AC45" i="23"/>
  <c r="P45" i="23"/>
  <c r="W45" i="23"/>
  <c r="U45" i="23"/>
  <c r="Z45" i="23"/>
  <c r="AF45" i="23"/>
  <c r="N45" i="23"/>
  <c r="K45" i="23"/>
  <c r="AE45" i="23"/>
  <c r="Q45" i="23"/>
  <c r="I45" i="23"/>
  <c r="X20" i="24"/>
  <c r="R50" i="23"/>
  <c r="X19" i="23"/>
  <c r="D49" i="23"/>
  <c r="G49" i="23" s="1"/>
  <c r="X18" i="23"/>
  <c r="D48" i="23"/>
  <c r="G48" i="23" s="1"/>
  <c r="X17" i="23"/>
  <c r="D44" i="23"/>
  <c r="G44" i="23" s="1"/>
  <c r="X12" i="23"/>
  <c r="D43" i="23"/>
  <c r="G43" i="23" s="1"/>
  <c r="X11" i="23"/>
  <c r="D42" i="23"/>
  <c r="G42" i="23" s="1"/>
  <c r="T45" i="23"/>
  <c r="J45" i="23"/>
  <c r="Y45" i="23"/>
  <c r="O45" i="23"/>
  <c r="S45" i="23"/>
  <c r="AD45" i="23"/>
  <c r="L45" i="23"/>
  <c r="M45" i="23"/>
  <c r="R45" i="23"/>
  <c r="AB45" i="23"/>
  <c r="AA45" i="23"/>
  <c r="V45" i="23"/>
  <c r="X21" i="20"/>
  <c r="AH51" i="24"/>
  <c r="H26" i="5"/>
  <c r="L26" i="5"/>
  <c r="F26" i="5"/>
  <c r="N26" i="5"/>
  <c r="I26" i="5"/>
  <c r="M26" i="5"/>
  <c r="J26" i="5"/>
  <c r="K26" i="5"/>
  <c r="G26" i="5"/>
  <c r="AH50" i="24"/>
  <c r="AH46" i="24"/>
  <c r="AH44" i="24"/>
  <c r="AH49" i="24"/>
  <c r="AH45" i="24"/>
  <c r="AH47" i="24"/>
  <c r="AH43" i="24"/>
  <c r="AH48" i="24"/>
  <c r="AH50" i="20"/>
  <c r="AH49" i="20"/>
  <c r="AH47" i="20"/>
  <c r="AH48" i="20"/>
  <c r="AH51" i="20"/>
  <c r="AH45" i="23"/>
  <c r="AH42" i="24"/>
  <c r="AH52" i="24"/>
  <c r="E35" i="22"/>
  <c r="E36" i="22"/>
  <c r="E34" i="22"/>
  <c r="AD21" i="25"/>
  <c r="AC21" i="25"/>
  <c r="D26" i="5"/>
  <c r="C36" i="22"/>
  <c r="C47" i="22" s="1"/>
  <c r="C35" i="22"/>
  <c r="C46" i="22" s="1"/>
  <c r="C34" i="22"/>
  <c r="C45" i="22" s="1"/>
  <c r="C33" i="22"/>
  <c r="C44" i="22" s="1"/>
  <c r="C32" i="22"/>
  <c r="C43" i="22" s="1"/>
  <c r="C31" i="22"/>
  <c r="C42" i="22" s="1"/>
  <c r="C30" i="22"/>
  <c r="C41" i="22"/>
  <c r="C29" i="22"/>
  <c r="C40" i="22" s="1"/>
  <c r="G57" i="3"/>
  <c r="H57" i="3"/>
  <c r="D57" i="3"/>
  <c r="E57" i="3"/>
  <c r="F57" i="3"/>
  <c r="H40" i="4"/>
  <c r="L40" i="4"/>
  <c r="H41" i="4"/>
  <c r="L41" i="4"/>
  <c r="H36" i="4"/>
  <c r="L36" i="4"/>
  <c r="H37" i="4"/>
  <c r="L37" i="4"/>
  <c r="H38" i="4"/>
  <c r="L38" i="4"/>
  <c r="H39" i="4"/>
  <c r="L39" i="4"/>
  <c r="H17" i="4"/>
  <c r="L17" i="4"/>
  <c r="H18" i="4"/>
  <c r="L18" i="4"/>
  <c r="H19" i="4"/>
  <c r="L19" i="4"/>
  <c r="H20" i="4"/>
  <c r="L20" i="4"/>
  <c r="H21" i="4"/>
  <c r="L21" i="4"/>
  <c r="H22" i="4"/>
  <c r="L22" i="4"/>
  <c r="H23" i="4"/>
  <c r="L23" i="4"/>
  <c r="H24" i="4"/>
  <c r="L24" i="4"/>
  <c r="H25" i="4"/>
  <c r="L25" i="4"/>
  <c r="H26" i="4"/>
  <c r="L26" i="4"/>
  <c r="H27" i="4"/>
  <c r="L27" i="4"/>
  <c r="H28" i="4"/>
  <c r="L28" i="4"/>
  <c r="H29" i="4"/>
  <c r="L29" i="4"/>
  <c r="H30" i="4"/>
  <c r="L30" i="4"/>
  <c r="H31" i="4"/>
  <c r="L31" i="4"/>
  <c r="H32" i="4"/>
  <c r="L32" i="4"/>
  <c r="H33" i="4"/>
  <c r="L33" i="4"/>
  <c r="H34" i="4"/>
  <c r="L34" i="4"/>
  <c r="H35" i="4"/>
  <c r="L35" i="4"/>
  <c r="L16" i="4"/>
  <c r="U45" i="22"/>
  <c r="Y45" i="22"/>
  <c r="T45" i="22"/>
  <c r="X45" i="22"/>
  <c r="Z45" i="22"/>
  <c r="AD45" i="22"/>
  <c r="S45" i="22"/>
  <c r="W45" i="22"/>
  <c r="P45" i="22"/>
  <c r="AB45" i="22"/>
  <c r="I45" i="22"/>
  <c r="M45" i="22"/>
  <c r="E22" i="23" l="1"/>
  <c r="N21" i="23"/>
  <c r="AH47" i="23"/>
  <c r="V21" i="23"/>
  <c r="X10" i="23"/>
  <c r="AJ12" i="22"/>
  <c r="AJ14" i="22"/>
  <c r="T30" i="23"/>
  <c r="D38" i="23"/>
  <c r="G38" i="23" s="1"/>
  <c r="AC31" i="26"/>
  <c r="AI16" i="24"/>
  <c r="AK12" i="21"/>
  <c r="AI14" i="24"/>
  <c r="AI11" i="24"/>
  <c r="AK10" i="21"/>
  <c r="AJ12" i="26"/>
  <c r="U33" i="26"/>
  <c r="AJ13" i="26"/>
  <c r="AJ14" i="26"/>
  <c r="AE31" i="26"/>
  <c r="AJ11" i="26"/>
  <c r="AG31" i="26"/>
  <c r="AA31" i="26"/>
  <c r="P31" i="26"/>
  <c r="AF31" i="26"/>
  <c r="AB31" i="26"/>
  <c r="Y33" i="26"/>
  <c r="AG33" i="26"/>
  <c r="AD31" i="26"/>
  <c r="AF35" i="22"/>
  <c r="AH47" i="22"/>
  <c r="N35" i="22"/>
  <c r="J35" i="22"/>
  <c r="Y31" i="26"/>
  <c r="T31" i="26"/>
  <c r="S31" i="26"/>
  <c r="R31" i="26"/>
  <c r="D36" i="23"/>
  <c r="G36" i="23" s="1"/>
  <c r="Z31" i="26"/>
  <c r="X31" i="26"/>
  <c r="W31" i="26"/>
  <c r="V31" i="26"/>
  <c r="N48" i="21"/>
  <c r="T48" i="21"/>
  <c r="Y48" i="21"/>
  <c r="I48" i="21"/>
  <c r="AD48" i="21"/>
  <c r="I21" i="30"/>
  <c r="F24" i="30" s="1"/>
  <c r="W26" i="28"/>
  <c r="O26" i="28"/>
  <c r="P13" i="28"/>
  <c r="D34" i="20"/>
  <c r="G34" i="20" s="1"/>
  <c r="AJ11" i="20"/>
  <c r="D38" i="25"/>
  <c r="G38" i="25" s="1"/>
  <c r="AJ12" i="20"/>
  <c r="M33" i="20"/>
  <c r="D35" i="22"/>
  <c r="G35" i="22" s="1"/>
  <c r="AJ13" i="20"/>
  <c r="AD33" i="20"/>
  <c r="U33" i="20"/>
  <c r="D38" i="20"/>
  <c r="G38" i="20" s="1"/>
  <c r="AJ14" i="20"/>
  <c r="AD30" i="23"/>
  <c r="AB33" i="20"/>
  <c r="T33" i="20"/>
  <c r="S33" i="20"/>
  <c r="X42" i="20"/>
  <c r="N42" i="20"/>
  <c r="P42" i="20"/>
  <c r="L42" i="20"/>
  <c r="L52" i="20" s="1"/>
  <c r="J42" i="20"/>
  <c r="AJ10" i="20"/>
  <c r="AI10" i="20"/>
  <c r="J48" i="21"/>
  <c r="P48" i="21"/>
  <c r="U48" i="21"/>
  <c r="Z48" i="21"/>
  <c r="AF48" i="21"/>
  <c r="L48" i="21"/>
  <c r="Q48" i="21"/>
  <c r="V48" i="21"/>
  <c r="AB48" i="21"/>
  <c r="AG48" i="21"/>
  <c r="M48" i="21"/>
  <c r="R48" i="21"/>
  <c r="X48" i="21"/>
  <c r="AC48" i="21"/>
  <c r="K48" i="21"/>
  <c r="O48" i="21"/>
  <c r="S48" i="21"/>
  <c r="W48" i="21"/>
  <c r="AA48" i="21"/>
  <c r="AI21" i="21"/>
  <c r="I42" i="20"/>
  <c r="K42" i="20"/>
  <c r="K52" i="20" s="1"/>
  <c r="M42" i="20"/>
  <c r="M52" i="20" s="1"/>
  <c r="O42" i="20"/>
  <c r="O52" i="20" s="1"/>
  <c r="Y42" i="20"/>
  <c r="R42" i="20"/>
  <c r="R52" i="20" s="1"/>
  <c r="M23" i="5" s="1"/>
  <c r="T42" i="20"/>
  <c r="T52" i="20" s="1"/>
  <c r="O25" i="34" s="1"/>
  <c r="Z42" i="20"/>
  <c r="V42" i="20"/>
  <c r="M25" i="34"/>
  <c r="I52" i="20"/>
  <c r="S42" i="20"/>
  <c r="S52" i="20" s="1"/>
  <c r="W42" i="20"/>
  <c r="AA42" i="20"/>
  <c r="J52" i="20"/>
  <c r="N52" i="20"/>
  <c r="P52" i="20"/>
  <c r="Q42" i="20"/>
  <c r="Q52" i="20" s="1"/>
  <c r="U42" i="20"/>
  <c r="U52" i="20" s="1"/>
  <c r="E22" i="22"/>
  <c r="K45" i="22"/>
  <c r="J45" i="22"/>
  <c r="AE45" i="22"/>
  <c r="O45" i="22"/>
  <c r="V45" i="22"/>
  <c r="AG45" i="22"/>
  <c r="Q45" i="22"/>
  <c r="N45" i="22"/>
  <c r="L45" i="22"/>
  <c r="AA45" i="22"/>
  <c r="AF45" i="22"/>
  <c r="R45" i="22"/>
  <c r="AH46" i="21"/>
  <c r="X35" i="21"/>
  <c r="AD37" i="21"/>
  <c r="AB35" i="21"/>
  <c r="Z37" i="21"/>
  <c r="R35" i="21"/>
  <c r="AK16" i="21"/>
  <c r="AF35" i="21"/>
  <c r="AA35" i="21"/>
  <c r="V37" i="21"/>
  <c r="U35" i="21"/>
  <c r="Q35" i="21"/>
  <c r="P35" i="21"/>
  <c r="N35" i="21"/>
  <c r="M35" i="21"/>
  <c r="L35" i="21"/>
  <c r="O21" i="21"/>
  <c r="Y35" i="21"/>
  <c r="V35" i="21"/>
  <c r="S35" i="21"/>
  <c r="O35" i="21"/>
  <c r="Y34" i="21"/>
  <c r="AK15" i="21"/>
  <c r="G34" i="21"/>
  <c r="AH49" i="21"/>
  <c r="I34" i="21"/>
  <c r="G32" i="21"/>
  <c r="AG32" i="21" s="1"/>
  <c r="G31" i="21"/>
  <c r="T31" i="21" s="1"/>
  <c r="G30" i="21"/>
  <c r="Z30" i="21" s="1"/>
  <c r="E22" i="21"/>
  <c r="AG34" i="21"/>
  <c r="Q34" i="21"/>
  <c r="P44" i="22"/>
  <c r="AE44" i="22"/>
  <c r="AA44" i="22"/>
  <c r="AF44" i="22"/>
  <c r="X41" i="22"/>
  <c r="U40" i="22"/>
  <c r="J40" i="22"/>
  <c r="W40" i="22"/>
  <c r="N40" i="22"/>
  <c r="AE40" i="22"/>
  <c r="T40" i="22"/>
  <c r="M40" i="22"/>
  <c r="AH21" i="22"/>
  <c r="Q41" i="22"/>
  <c r="R44" i="22"/>
  <c r="I44" i="22"/>
  <c r="L44" i="22"/>
  <c r="AE35" i="22"/>
  <c r="AD35" i="22"/>
  <c r="AC35" i="22"/>
  <c r="V35" i="22"/>
  <c r="T35" i="22"/>
  <c r="R35" i="22"/>
  <c r="P35" i="22"/>
  <c r="O35" i="22"/>
  <c r="I35" i="22"/>
  <c r="K41" i="22"/>
  <c r="Y44" i="22"/>
  <c r="AD44" i="22"/>
  <c r="AH46" i="22"/>
  <c r="Z35" i="22"/>
  <c r="Y35" i="22"/>
  <c r="AF40" i="22"/>
  <c r="U44" i="22"/>
  <c r="D36" i="22"/>
  <c r="G36" i="22" s="1"/>
  <c r="AG35" i="22"/>
  <c r="AB35" i="22"/>
  <c r="AA35" i="22"/>
  <c r="X35" i="22"/>
  <c r="W35" i="22"/>
  <c r="U35" i="22"/>
  <c r="S35" i="22"/>
  <c r="Q35" i="22"/>
  <c r="M35" i="22"/>
  <c r="L35" i="22"/>
  <c r="I42" i="22"/>
  <c r="Q42" i="22"/>
  <c r="O42" i="22"/>
  <c r="L42" i="22"/>
  <c r="R42" i="22"/>
  <c r="Y42" i="22"/>
  <c r="AE42" i="22"/>
  <c r="T42" i="22"/>
  <c r="AG42" i="22"/>
  <c r="AB42" i="22"/>
  <c r="V42" i="22"/>
  <c r="K42" i="22"/>
  <c r="AA42" i="22"/>
  <c r="T43" i="22"/>
  <c r="S43" i="22"/>
  <c r="I43" i="22"/>
  <c r="AB43" i="22"/>
  <c r="M43" i="22"/>
  <c r="V43" i="22"/>
  <c r="J43" i="22"/>
  <c r="O43" i="22"/>
  <c r="Z43" i="22"/>
  <c r="AE43" i="22"/>
  <c r="U43" i="22"/>
  <c r="L43" i="22"/>
  <c r="AC43" i="22"/>
  <c r="L41" i="22"/>
  <c r="AB41" i="22"/>
  <c r="Z41" i="22"/>
  <c r="I41" i="22"/>
  <c r="Y41" i="22"/>
  <c r="V41" i="22"/>
  <c r="AE41" i="22"/>
  <c r="P41" i="22"/>
  <c r="AI21" i="22"/>
  <c r="E23" i="22" s="1"/>
  <c r="W41" i="22"/>
  <c r="AG41" i="22"/>
  <c r="M41" i="22"/>
  <c r="R41" i="22"/>
  <c r="T41" i="22"/>
  <c r="L40" i="22"/>
  <c r="S40" i="22"/>
  <c r="AD40" i="22"/>
  <c r="AC40" i="22"/>
  <c r="O41" i="22"/>
  <c r="AC41" i="22"/>
  <c r="AA41" i="22"/>
  <c r="J41" i="22"/>
  <c r="T44" i="22"/>
  <c r="J44" i="22"/>
  <c r="K44" i="22"/>
  <c r="M44" i="22"/>
  <c r="AC44" i="22"/>
  <c r="Z44" i="22"/>
  <c r="X44" i="22"/>
  <c r="V44" i="22"/>
  <c r="S44" i="22"/>
  <c r="Q44" i="22"/>
  <c r="AG44" i="22"/>
  <c r="O44" i="22"/>
  <c r="N21" i="22"/>
  <c r="X21" i="22" s="1"/>
  <c r="X10" i="22"/>
  <c r="AJ16" i="22"/>
  <c r="D34" i="22"/>
  <c r="G34" i="22" s="1"/>
  <c r="AE34" i="22" s="1"/>
  <c r="L36" i="22"/>
  <c r="AE36" i="22"/>
  <c r="J36" i="22"/>
  <c r="M36" i="22"/>
  <c r="N36" i="22"/>
  <c r="Q36" i="22"/>
  <c r="R36" i="22"/>
  <c r="T36" i="22"/>
  <c r="U36" i="22"/>
  <c r="V36" i="22"/>
  <c r="W36" i="22"/>
  <c r="Y36" i="22"/>
  <c r="AC36" i="22"/>
  <c r="P40" i="22"/>
  <c r="I40" i="22"/>
  <c r="O40" i="22"/>
  <c r="R40" i="22"/>
  <c r="AD41" i="22"/>
  <c r="U41" i="22"/>
  <c r="S41" i="22"/>
  <c r="AF41" i="22"/>
  <c r="N44" i="22"/>
  <c r="W44" i="22"/>
  <c r="AB44" i="22"/>
  <c r="AG36" i="22"/>
  <c r="AA36" i="22"/>
  <c r="V21" i="22"/>
  <c r="G33" i="22"/>
  <c r="N33" i="22" s="1"/>
  <c r="G32" i="22"/>
  <c r="N32" i="22" s="1"/>
  <c r="G30" i="22"/>
  <c r="I30" i="22" s="1"/>
  <c r="G29" i="22"/>
  <c r="R29" i="22" s="1"/>
  <c r="AB40" i="22"/>
  <c r="AA40" i="22"/>
  <c r="K40" i="22"/>
  <c r="Z40" i="22"/>
  <c r="AJ10" i="22"/>
  <c r="AJ11" i="22"/>
  <c r="AB34" i="22"/>
  <c r="P21" i="22"/>
  <c r="AJ14" i="23"/>
  <c r="Y30" i="23"/>
  <c r="T30" i="21"/>
  <c r="D29" i="24"/>
  <c r="G29" i="24" s="1"/>
  <c r="AI13" i="24"/>
  <c r="AI19" i="24"/>
  <c r="AK11" i="21"/>
  <c r="AK13" i="21"/>
  <c r="AJ12" i="23"/>
  <c r="Y30" i="21"/>
  <c r="W30" i="23"/>
  <c r="R30" i="21"/>
  <c r="D32" i="25"/>
  <c r="G32" i="25" s="1"/>
  <c r="AI15" i="24"/>
  <c r="P21" i="23"/>
  <c r="AF30" i="23"/>
  <c r="AB30" i="21"/>
  <c r="AH34" i="20"/>
  <c r="O10" i="24"/>
  <c r="T8" i="22"/>
  <c r="Z18" i="22" s="1"/>
  <c r="O11" i="22"/>
  <c r="W21" i="21"/>
  <c r="D36" i="21"/>
  <c r="G36" i="21" s="1"/>
  <c r="Y36" i="21" s="1"/>
  <c r="U42" i="21"/>
  <c r="AG42" i="21"/>
  <c r="J42" i="21"/>
  <c r="X42" i="21"/>
  <c r="AE42" i="21"/>
  <c r="O42" i="21"/>
  <c r="AD42" i="21"/>
  <c r="I42" i="21"/>
  <c r="M42" i="21"/>
  <c r="R42" i="21"/>
  <c r="T42" i="21"/>
  <c r="AA42" i="21"/>
  <c r="K42" i="21"/>
  <c r="Y42" i="21"/>
  <c r="AC42" i="21"/>
  <c r="AF42" i="21"/>
  <c r="P42" i="21"/>
  <c r="W42" i="21"/>
  <c r="N42" i="21"/>
  <c r="Q42" i="21"/>
  <c r="Z42" i="21"/>
  <c r="AB42" i="21"/>
  <c r="L42" i="21"/>
  <c r="S42" i="21"/>
  <c r="V42" i="21"/>
  <c r="I35" i="21"/>
  <c r="AD34" i="21"/>
  <c r="Z34" i="21"/>
  <c r="V34" i="21"/>
  <c r="R34" i="21"/>
  <c r="N34" i="21"/>
  <c r="J34" i="21"/>
  <c r="AJ21" i="21"/>
  <c r="E23" i="21" s="1"/>
  <c r="K35" i="21"/>
  <c r="AF34" i="21"/>
  <c r="AB34" i="21"/>
  <c r="X34" i="21"/>
  <c r="T34" i="21"/>
  <c r="P34" i="21"/>
  <c r="L34" i="21"/>
  <c r="AE34" i="21"/>
  <c r="AA34" i="21"/>
  <c r="W34" i="21"/>
  <c r="S34" i="21"/>
  <c r="O34" i="21"/>
  <c r="E27" i="28"/>
  <c r="D37" i="21"/>
  <c r="G37" i="21" s="1"/>
  <c r="D35" i="21"/>
  <c r="G35" i="21" s="1"/>
  <c r="O18" i="26"/>
  <c r="O16" i="24"/>
  <c r="AI34" i="25"/>
  <c r="AH36" i="26"/>
  <c r="P11" i="28"/>
  <c r="AK16" i="25"/>
  <c r="R8" i="28"/>
  <c r="Z10" i="28" s="1"/>
  <c r="Z26" i="28" s="1"/>
  <c r="F20" i="33" s="1"/>
  <c r="P24" i="28"/>
  <c r="AK18" i="25"/>
  <c r="P12" i="28"/>
  <c r="P25" i="28"/>
  <c r="D36" i="24"/>
  <c r="G36" i="24" s="1"/>
  <c r="AK19" i="25"/>
  <c r="AH38" i="20"/>
  <c r="AI36" i="25"/>
  <c r="D37" i="20"/>
  <c r="G37" i="20" s="1"/>
  <c r="D31" i="24"/>
  <c r="G31" i="24" s="1"/>
  <c r="O16" i="23"/>
  <c r="P21" i="20"/>
  <c r="Q21" i="21"/>
  <c r="P20" i="24"/>
  <c r="W20" i="24"/>
  <c r="AI20" i="24" s="1"/>
  <c r="P22" i="28"/>
  <c r="P21" i="28"/>
  <c r="AK17" i="25"/>
  <c r="D45" i="28"/>
  <c r="G45" i="28" s="1"/>
  <c r="AH35" i="20"/>
  <c r="AH36" i="20"/>
  <c r="D35" i="20"/>
  <c r="G35" i="20" s="1"/>
  <c r="AJ18" i="26"/>
  <c r="AJ17" i="26"/>
  <c r="P23" i="28"/>
  <c r="AI32" i="25"/>
  <c r="K33" i="23"/>
  <c r="W33" i="23"/>
  <c r="Y33" i="23"/>
  <c r="AD33" i="23"/>
  <c r="AF33" i="23"/>
  <c r="AG33" i="23"/>
  <c r="AA33" i="23"/>
  <c r="AC33" i="23"/>
  <c r="U33" i="23"/>
  <c r="Z33" i="23"/>
  <c r="AB33" i="23"/>
  <c r="V33" i="23"/>
  <c r="X33" i="23"/>
  <c r="AE33" i="23"/>
  <c r="I30" i="20"/>
  <c r="L30" i="20"/>
  <c r="Q30" i="20"/>
  <c r="V30" i="20"/>
  <c r="AA30" i="20"/>
  <c r="AC30" i="20"/>
  <c r="W30" i="20"/>
  <c r="Y30" i="20"/>
  <c r="J30" i="20"/>
  <c r="R30" i="20"/>
  <c r="X30" i="20"/>
  <c r="Z30" i="20"/>
  <c r="AE30" i="20"/>
  <c r="AG30" i="20"/>
  <c r="AF30" i="20"/>
  <c r="M30" i="20"/>
  <c r="N30" i="20"/>
  <c r="O30" i="20"/>
  <c r="P30" i="20"/>
  <c r="S30" i="20"/>
  <c r="T30" i="20"/>
  <c r="U30" i="20"/>
  <c r="AB30" i="20"/>
  <c r="AD30" i="20"/>
  <c r="K30" i="20"/>
  <c r="W21" i="22"/>
  <c r="AJ21" i="22" s="1"/>
  <c r="P13" i="21"/>
  <c r="P18" i="25"/>
  <c r="O14" i="24"/>
  <c r="D37" i="24"/>
  <c r="G37" i="24" s="1"/>
  <c r="D44" i="28"/>
  <c r="G44" i="28" s="1"/>
  <c r="AG30" i="23"/>
  <c r="AG33" i="20"/>
  <c r="AE33" i="20"/>
  <c r="AH35" i="26"/>
  <c r="AH38" i="26"/>
  <c r="AH34" i="26"/>
  <c r="AB30" i="23"/>
  <c r="Z30" i="23"/>
  <c r="Z33" i="20"/>
  <c r="X33" i="20"/>
  <c r="U30" i="23"/>
  <c r="W21" i="20"/>
  <c r="AJ21" i="20" s="1"/>
  <c r="D37" i="23"/>
  <c r="G37" i="23" s="1"/>
  <c r="X21" i="21"/>
  <c r="AK21" i="21" s="1"/>
  <c r="O15" i="24"/>
  <c r="P14" i="25"/>
  <c r="O12" i="23"/>
  <c r="AJ10" i="23"/>
  <c r="AJ13" i="23"/>
  <c r="K18" i="18"/>
  <c r="AI38" i="25"/>
  <c r="AE30" i="23"/>
  <c r="AC33" i="20"/>
  <c r="AA33" i="20"/>
  <c r="X30" i="23"/>
  <c r="V30" i="23"/>
  <c r="V33" i="20"/>
  <c r="Q33" i="20"/>
  <c r="L30" i="23"/>
  <c r="P20" i="25"/>
  <c r="O13" i="24"/>
  <c r="AJ11" i="23"/>
  <c r="P17" i="25"/>
  <c r="AF33" i="20"/>
  <c r="AC30" i="23"/>
  <c r="AA30" i="23"/>
  <c r="Y33" i="20"/>
  <c r="I31" i="26"/>
  <c r="D36" i="20"/>
  <c r="G36" i="20" s="1"/>
  <c r="AJ19" i="26"/>
  <c r="D37" i="26"/>
  <c r="G37" i="26" s="1"/>
  <c r="Q31" i="23"/>
  <c r="S31" i="23"/>
  <c r="U31" i="23"/>
  <c r="Z31" i="23"/>
  <c r="AB31" i="23"/>
  <c r="M31" i="23"/>
  <c r="W31" i="23"/>
  <c r="Y31" i="23"/>
  <c r="AD31" i="23"/>
  <c r="AF31" i="23"/>
  <c r="T31" i="23"/>
  <c r="AA31" i="23"/>
  <c r="AC31" i="23"/>
  <c r="V31" i="23"/>
  <c r="X31" i="23"/>
  <c r="AE31" i="23"/>
  <c r="AG31" i="23"/>
  <c r="J32" i="20"/>
  <c r="L32" i="20"/>
  <c r="Q32" i="20"/>
  <c r="T32" i="20"/>
  <c r="V32" i="20"/>
  <c r="AA32" i="20"/>
  <c r="AC32" i="20"/>
  <c r="M32" i="20"/>
  <c r="P32" i="20"/>
  <c r="R32" i="20"/>
  <c r="X32" i="20"/>
  <c r="Z32" i="20"/>
  <c r="AE32" i="20"/>
  <c r="AG32" i="20"/>
  <c r="K32" i="20"/>
  <c r="S32" i="20"/>
  <c r="U32" i="20"/>
  <c r="AB32" i="20"/>
  <c r="AD32" i="20"/>
  <c r="N32" i="20"/>
  <c r="O32" i="20"/>
  <c r="W32" i="20"/>
  <c r="Y32" i="20"/>
  <c r="AF32" i="20"/>
  <c r="AJ16" i="26"/>
  <c r="D34" i="26"/>
  <c r="G34" i="26" s="1"/>
  <c r="O20" i="26"/>
  <c r="O11" i="26"/>
  <c r="O17" i="26"/>
  <c r="O16" i="26"/>
  <c r="O10" i="26"/>
  <c r="O13" i="26"/>
  <c r="Q8" i="26"/>
  <c r="O19" i="26"/>
  <c r="O12" i="26"/>
  <c r="W32" i="26"/>
  <c r="AC32" i="26"/>
  <c r="AD32" i="26"/>
  <c r="AF32" i="26"/>
  <c r="M32" i="26"/>
  <c r="R32" i="26"/>
  <c r="T32" i="26"/>
  <c r="AA32" i="26"/>
  <c r="AG32" i="26"/>
  <c r="Q32" i="26"/>
  <c r="U32" i="26"/>
  <c r="V32" i="26"/>
  <c r="X32" i="26"/>
  <c r="AE32" i="26"/>
  <c r="S32" i="26"/>
  <c r="Y32" i="26"/>
  <c r="Z32" i="26"/>
  <c r="AB32" i="26"/>
  <c r="U30" i="26"/>
  <c r="V30" i="26"/>
  <c r="X30" i="26"/>
  <c r="AE30" i="26"/>
  <c r="Q30" i="26"/>
  <c r="S30" i="26"/>
  <c r="Y30" i="26"/>
  <c r="Z30" i="26"/>
  <c r="AB30" i="26"/>
  <c r="I30" i="26"/>
  <c r="K30" i="26"/>
  <c r="O30" i="26"/>
  <c r="W30" i="26"/>
  <c r="AC30" i="26"/>
  <c r="AD30" i="26"/>
  <c r="AF30" i="26"/>
  <c r="R30" i="26"/>
  <c r="T30" i="26"/>
  <c r="AA30" i="26"/>
  <c r="AG30" i="26"/>
  <c r="Q32" i="22"/>
  <c r="X32" i="22"/>
  <c r="Z32" i="22"/>
  <c r="J32" i="22"/>
  <c r="P32" i="22"/>
  <c r="S32" i="22"/>
  <c r="AB32" i="22"/>
  <c r="K32" i="22"/>
  <c r="M32" i="22"/>
  <c r="AF32" i="22"/>
  <c r="O32" i="22"/>
  <c r="T32" i="22"/>
  <c r="AC32" i="22"/>
  <c r="T8" i="23"/>
  <c r="AA20" i="23" s="1"/>
  <c r="O19" i="23"/>
  <c r="O10" i="23"/>
  <c r="O13" i="23"/>
  <c r="D47" i="28"/>
  <c r="G47" i="28" s="1"/>
  <c r="AK24" i="28"/>
  <c r="O11" i="24"/>
  <c r="O18" i="24"/>
  <c r="Q8" i="24"/>
  <c r="Z12" i="24" s="1"/>
  <c r="O12" i="24"/>
  <c r="O17" i="24"/>
  <c r="O19" i="24"/>
  <c r="T29" i="20"/>
  <c r="AB29" i="20"/>
  <c r="AF29" i="20"/>
  <c r="S8" i="25"/>
  <c r="Z14" i="25" s="1"/>
  <c r="P16" i="25"/>
  <c r="P15" i="25"/>
  <c r="P19" i="25"/>
  <c r="P10" i="25"/>
  <c r="D33" i="25"/>
  <c r="G33" i="25" s="1"/>
  <c r="AK15" i="25"/>
  <c r="S8" i="21"/>
  <c r="P10" i="21"/>
  <c r="O14" i="23"/>
  <c r="P21" i="26"/>
  <c r="T33" i="23"/>
  <c r="S30" i="23"/>
  <c r="R30" i="23"/>
  <c r="P30" i="23"/>
  <c r="AH36" i="23"/>
  <c r="G31" i="20"/>
  <c r="M31" i="20" s="1"/>
  <c r="G31" i="22"/>
  <c r="K31" i="22" s="1"/>
  <c r="Y21" i="26"/>
  <c r="S33" i="23"/>
  <c r="Q33" i="23"/>
  <c r="J31" i="23"/>
  <c r="I32" i="20"/>
  <c r="Q21" i="25"/>
  <c r="O33" i="23"/>
  <c r="AH50" i="23"/>
  <c r="AH37" i="23"/>
  <c r="AH35" i="23"/>
  <c r="AH49" i="23"/>
  <c r="AH48" i="23"/>
  <c r="D50" i="23"/>
  <c r="G50" i="23" s="1"/>
  <c r="D35" i="23"/>
  <c r="G35" i="23" s="1"/>
  <c r="W21" i="23"/>
  <c r="AJ21" i="23" s="1"/>
  <c r="D34" i="23"/>
  <c r="G34" i="23" s="1"/>
  <c r="F23" i="30"/>
  <c r="AK10" i="28"/>
  <c r="Z29" i="25"/>
  <c r="Z39" i="25" s="1"/>
  <c r="T11" i="34" s="1"/>
  <c r="O10" i="22"/>
  <c r="P20" i="21"/>
  <c r="O14" i="22"/>
  <c r="P12" i="21"/>
  <c r="O10" i="20"/>
  <c r="AA14" i="23"/>
  <c r="P11" i="21"/>
  <c r="X26" i="28"/>
  <c r="AK26" i="28" s="1"/>
  <c r="O16" i="22"/>
  <c r="O12" i="22"/>
  <c r="O18" i="22"/>
  <c r="O17" i="22"/>
  <c r="O13" i="22"/>
  <c r="P17" i="21"/>
  <c r="P16" i="21"/>
  <c r="P15" i="21"/>
  <c r="P19" i="21"/>
  <c r="Z14" i="24"/>
  <c r="AA10" i="24"/>
  <c r="AA12" i="24"/>
  <c r="Z13" i="24"/>
  <c r="Z11" i="24"/>
  <c r="AA16" i="20"/>
  <c r="AA18" i="20"/>
  <c r="AA10" i="20"/>
  <c r="AA12" i="20"/>
  <c r="Z12" i="20"/>
  <c r="Z14" i="20"/>
  <c r="Z18" i="20"/>
  <c r="Z20" i="20"/>
  <c r="Z11" i="20"/>
  <c r="AA19" i="20"/>
  <c r="Z10" i="20"/>
  <c r="Z13" i="20"/>
  <c r="AA20" i="20"/>
  <c r="AA11" i="20"/>
  <c r="AA14" i="20"/>
  <c r="AA17" i="20"/>
  <c r="Z17" i="20"/>
  <c r="Z19" i="20"/>
  <c r="Z16" i="20"/>
  <c r="AA13" i="20"/>
  <c r="AB16" i="25"/>
  <c r="O13" i="20"/>
  <c r="O17" i="20"/>
  <c r="O11" i="20"/>
  <c r="O16" i="20"/>
  <c r="O20" i="20"/>
  <c r="O18" i="20"/>
  <c r="O14" i="20"/>
  <c r="O19" i="20"/>
  <c r="O12" i="20"/>
  <c r="Y10" i="25"/>
  <c r="X21" i="25"/>
  <c r="AK21" i="25" s="1"/>
  <c r="W21" i="25"/>
  <c r="Q42" i="25"/>
  <c r="Q52" i="25" s="1"/>
  <c r="K27" i="5" s="1"/>
  <c r="R42" i="25"/>
  <c r="R52" i="25" s="1"/>
  <c r="S42" i="25"/>
  <c r="S52" i="25" s="1"/>
  <c r="T42" i="25"/>
  <c r="AG29" i="25"/>
  <c r="AG39" i="25" s="1"/>
  <c r="AA11" i="34" s="1"/>
  <c r="AF42" i="25"/>
  <c r="AF52" i="25" s="1"/>
  <c r="Z29" i="34" s="1"/>
  <c r="AG42" i="25"/>
  <c r="AH42" i="25"/>
  <c r="U42" i="25"/>
  <c r="U52" i="25" s="1"/>
  <c r="V42" i="25"/>
  <c r="V52" i="25" s="1"/>
  <c r="W42" i="25"/>
  <c r="W52" i="25" s="1"/>
  <c r="AF29" i="25"/>
  <c r="AF39" i="25" s="1"/>
  <c r="Z11" i="34" s="1"/>
  <c r="AC29" i="25"/>
  <c r="AC39" i="25" s="1"/>
  <c r="W11" i="34" s="1"/>
  <c r="Y29" i="25"/>
  <c r="Y39" i="25" s="1"/>
  <c r="S11" i="34" s="1"/>
  <c r="J42" i="25"/>
  <c r="J52" i="25" s="1"/>
  <c r="K42" i="25"/>
  <c r="K52" i="25" s="1"/>
  <c r="L42" i="25"/>
  <c r="L52" i="25" s="1"/>
  <c r="X42" i="25"/>
  <c r="X52" i="25" s="1"/>
  <c r="Y42" i="25"/>
  <c r="Y52" i="25" s="1"/>
  <c r="Z42" i="25"/>
  <c r="Z52" i="25" s="1"/>
  <c r="AA42" i="25"/>
  <c r="AA52" i="25" s="1"/>
  <c r="AH29" i="25"/>
  <c r="AH39" i="25" s="1"/>
  <c r="AB11" i="5" s="1"/>
  <c r="AE29" i="25"/>
  <c r="AE39" i="25" s="1"/>
  <c r="AB29" i="25"/>
  <c r="AB39" i="25" s="1"/>
  <c r="M42" i="25"/>
  <c r="M52" i="25" s="1"/>
  <c r="N42" i="25"/>
  <c r="O42" i="25"/>
  <c r="O52" i="25" s="1"/>
  <c r="P42" i="25"/>
  <c r="P52" i="25" s="1"/>
  <c r="T52" i="25"/>
  <c r="AB42" i="25"/>
  <c r="AB52" i="25" s="1"/>
  <c r="AC42" i="25"/>
  <c r="AC52" i="25" s="1"/>
  <c r="AD42" i="25"/>
  <c r="AD52" i="25" s="1"/>
  <c r="AE42" i="25"/>
  <c r="AE52" i="25" s="1"/>
  <c r="AD29" i="25"/>
  <c r="AD39" i="25" s="1"/>
  <c r="X11" i="34" s="1"/>
  <c r="AA29" i="25"/>
  <c r="AA39" i="25" s="1"/>
  <c r="U11" i="34" s="1"/>
  <c r="D54" i="3"/>
  <c r="E5" i="35" s="1"/>
  <c r="V21" i="26"/>
  <c r="X21" i="26" s="1"/>
  <c r="AJ10" i="26"/>
  <c r="T44" i="21"/>
  <c r="O44" i="21"/>
  <c r="Z44" i="21"/>
  <c r="J44" i="21"/>
  <c r="U44" i="21"/>
  <c r="P44" i="21"/>
  <c r="S44" i="21"/>
  <c r="AB44" i="21"/>
  <c r="W44" i="21"/>
  <c r="V44" i="21"/>
  <c r="AG44" i="21"/>
  <c r="Q44" i="21"/>
  <c r="X44" i="21"/>
  <c r="AA44" i="21"/>
  <c r="AE44" i="21"/>
  <c r="R44" i="21"/>
  <c r="AC44" i="21"/>
  <c r="M44" i="21"/>
  <c r="AF44" i="21"/>
  <c r="L44" i="21"/>
  <c r="AD44" i="21"/>
  <c r="N44" i="21"/>
  <c r="Y44" i="21"/>
  <c r="I44" i="21"/>
  <c r="K44" i="21"/>
  <c r="X42" i="23"/>
  <c r="AC42" i="23"/>
  <c r="U42" i="23"/>
  <c r="K42" i="23"/>
  <c r="J42" i="23"/>
  <c r="AD42" i="23"/>
  <c r="AE42" i="23"/>
  <c r="N42" i="23"/>
  <c r="M42" i="23"/>
  <c r="S42" i="23"/>
  <c r="AG42" i="23"/>
  <c r="P42" i="23"/>
  <c r="AB42" i="23"/>
  <c r="Y42" i="23"/>
  <c r="V42" i="23"/>
  <c r="AA42" i="23"/>
  <c r="Q42" i="23"/>
  <c r="I42" i="23"/>
  <c r="L42" i="23"/>
  <c r="T42" i="23"/>
  <c r="AF42" i="23"/>
  <c r="Z42" i="23"/>
  <c r="W42" i="23"/>
  <c r="R42" i="23"/>
  <c r="O42" i="23"/>
  <c r="T44" i="23"/>
  <c r="M44" i="23"/>
  <c r="X44" i="23"/>
  <c r="Q44" i="23"/>
  <c r="L44" i="23"/>
  <c r="J44" i="23"/>
  <c r="V44" i="23"/>
  <c r="Z44" i="23"/>
  <c r="AC44" i="23"/>
  <c r="S44" i="23"/>
  <c r="I44" i="23"/>
  <c r="P44" i="23"/>
  <c r="O44" i="23"/>
  <c r="Y44" i="23"/>
  <c r="K44" i="23"/>
  <c r="AB44" i="23"/>
  <c r="AD44" i="23"/>
  <c r="R44" i="23"/>
  <c r="AA44" i="23"/>
  <c r="AG44" i="23"/>
  <c r="W44" i="23"/>
  <c r="N44" i="23"/>
  <c r="U44" i="23"/>
  <c r="AE44" i="23"/>
  <c r="AF44" i="23"/>
  <c r="Y40" i="22"/>
  <c r="X40" i="22"/>
  <c r="V40" i="22"/>
  <c r="Q40" i="22"/>
  <c r="AG40" i="22"/>
  <c r="P43" i="22"/>
  <c r="AF43" i="22"/>
  <c r="K43" i="22"/>
  <c r="Q43" i="22"/>
  <c r="AG43" i="22"/>
  <c r="AD43" i="22"/>
  <c r="X43" i="22"/>
  <c r="R43" i="22"/>
  <c r="AA43" i="22"/>
  <c r="Y43" i="22"/>
  <c r="N43" i="22"/>
  <c r="W43" i="22"/>
  <c r="X42" i="22"/>
  <c r="J42" i="22"/>
  <c r="S42" i="22"/>
  <c r="U42" i="22"/>
  <c r="N42" i="22"/>
  <c r="W42" i="22"/>
  <c r="P42" i="22"/>
  <c r="AF42" i="22"/>
  <c r="Z42" i="22"/>
  <c r="M42" i="22"/>
  <c r="AC42" i="22"/>
  <c r="AD42" i="22"/>
  <c r="AA41" i="21"/>
  <c r="R41" i="21"/>
  <c r="Y41" i="21"/>
  <c r="I41" i="21"/>
  <c r="T41" i="21"/>
  <c r="AE41" i="21"/>
  <c r="AD41" i="21"/>
  <c r="O41" i="21"/>
  <c r="Z41" i="21"/>
  <c r="K41" i="21"/>
  <c r="U41" i="21"/>
  <c r="AF41" i="21"/>
  <c r="P41" i="21"/>
  <c r="S41" i="21"/>
  <c r="AG41" i="21"/>
  <c r="Q41" i="21"/>
  <c r="AB41" i="21"/>
  <c r="L41" i="21"/>
  <c r="N41" i="21"/>
  <c r="J41" i="21"/>
  <c r="AC41" i="21"/>
  <c r="M41" i="21"/>
  <c r="X41" i="21"/>
  <c r="W41" i="21"/>
  <c r="V41" i="21"/>
  <c r="Y43" i="21"/>
  <c r="I43" i="21"/>
  <c r="L43" i="21"/>
  <c r="AE43" i="21"/>
  <c r="O43" i="21"/>
  <c r="V43" i="21"/>
  <c r="P43" i="21"/>
  <c r="T43" i="21"/>
  <c r="U43" i="21"/>
  <c r="AA43" i="21"/>
  <c r="K43" i="21"/>
  <c r="R43" i="21"/>
  <c r="X43" i="21"/>
  <c r="AC43" i="21"/>
  <c r="AG43" i="21"/>
  <c r="W43" i="21"/>
  <c r="AD43" i="21"/>
  <c r="N43" i="21"/>
  <c r="AF43" i="21"/>
  <c r="AB43" i="21"/>
  <c r="Q43" i="21"/>
  <c r="M43" i="21"/>
  <c r="S43" i="21"/>
  <c r="Z43" i="21"/>
  <c r="J43" i="21"/>
  <c r="Y45" i="21"/>
  <c r="I45" i="21"/>
  <c r="T45" i="21"/>
  <c r="AE45" i="21"/>
  <c r="Z45" i="21"/>
  <c r="S45" i="21"/>
  <c r="AD45" i="21"/>
  <c r="U45" i="21"/>
  <c r="AF45" i="21"/>
  <c r="P45" i="21"/>
  <c r="AA45" i="21"/>
  <c r="O45" i="21"/>
  <c r="AG45" i="21"/>
  <c r="Q45" i="21"/>
  <c r="AB45" i="21"/>
  <c r="L45" i="21"/>
  <c r="J45" i="21"/>
  <c r="N45" i="21"/>
  <c r="AC45" i="21"/>
  <c r="M45" i="21"/>
  <c r="X45" i="21"/>
  <c r="W45" i="21"/>
  <c r="R45" i="21"/>
  <c r="K45" i="21"/>
  <c r="V45" i="21"/>
  <c r="AD43" i="23"/>
  <c r="AF43" i="23"/>
  <c r="Z43" i="23"/>
  <c r="AB43" i="23"/>
  <c r="N43" i="23"/>
  <c r="S43" i="23"/>
  <c r="AG43" i="23"/>
  <c r="X43" i="23"/>
  <c r="AE43" i="23"/>
  <c r="AC43" i="23"/>
  <c r="U43" i="23"/>
  <c r="O43" i="23"/>
  <c r="Y43" i="23"/>
  <c r="T43" i="23"/>
  <c r="J43" i="23"/>
  <c r="L43" i="23"/>
  <c r="W43" i="23"/>
  <c r="V43" i="23"/>
  <c r="M43" i="23"/>
  <c r="Q43" i="23"/>
  <c r="K43" i="23"/>
  <c r="AA43" i="23"/>
  <c r="P43" i="23"/>
  <c r="I43" i="23"/>
  <c r="R43" i="23"/>
  <c r="J46" i="23"/>
  <c r="X46" i="23"/>
  <c r="AG46" i="23"/>
  <c r="Q46" i="23"/>
  <c r="O46" i="23"/>
  <c r="AA46" i="23"/>
  <c r="S46" i="23"/>
  <c r="P46" i="23"/>
  <c r="L46" i="23"/>
  <c r="AE46" i="23"/>
  <c r="R46" i="23"/>
  <c r="T46" i="23"/>
  <c r="Z46" i="23"/>
  <c r="I46" i="23"/>
  <c r="N46" i="23"/>
  <c r="V46" i="23"/>
  <c r="M46" i="23"/>
  <c r="AC46" i="23"/>
  <c r="W46" i="23"/>
  <c r="AD46" i="23"/>
  <c r="K46" i="23"/>
  <c r="Y46" i="23"/>
  <c r="AF46" i="23"/>
  <c r="AB46" i="23"/>
  <c r="U46" i="23"/>
  <c r="D58" i="3"/>
  <c r="O18" i="23"/>
  <c r="O20" i="23"/>
  <c r="J8" i="19"/>
  <c r="O17" i="23"/>
  <c r="O11" i="23"/>
  <c r="AJ20" i="26"/>
  <c r="AA17" i="28"/>
  <c r="AB15" i="28"/>
  <c r="AB45" i="20"/>
  <c r="AC45" i="20"/>
  <c r="AD45" i="20"/>
  <c r="AE45" i="20"/>
  <c r="AF45" i="20"/>
  <c r="AG46" i="20"/>
  <c r="AF46" i="20"/>
  <c r="AE46" i="20"/>
  <c r="AD46" i="20"/>
  <c r="AC46" i="20"/>
  <c r="AB46" i="20"/>
  <c r="AH46" i="20" s="1"/>
  <c r="AF44" i="20"/>
  <c r="AE44" i="20"/>
  <c r="AD44" i="20"/>
  <c r="AC44" i="20"/>
  <c r="AB44" i="20"/>
  <c r="AG44" i="20"/>
  <c r="AG42" i="20"/>
  <c r="AG52" i="20" s="1"/>
  <c r="AF42" i="20"/>
  <c r="AE42" i="20"/>
  <c r="AD42" i="20"/>
  <c r="AC42" i="20"/>
  <c r="AB42" i="20"/>
  <c r="T52" i="24"/>
  <c r="V52" i="24"/>
  <c r="X52" i="24"/>
  <c r="Z52" i="24"/>
  <c r="AB52" i="24"/>
  <c r="AD52" i="24"/>
  <c r="AF52" i="24"/>
  <c r="L44" i="26"/>
  <c r="P44" i="26"/>
  <c r="T44" i="26"/>
  <c r="X44" i="26"/>
  <c r="AB44" i="26"/>
  <c r="AF44" i="26"/>
  <c r="AC39" i="24"/>
  <c r="I37" i="21"/>
  <c r="J37" i="21"/>
  <c r="N37" i="21"/>
  <c r="R37" i="21"/>
  <c r="M37" i="21"/>
  <c r="L37" i="21"/>
  <c r="P37" i="21"/>
  <c r="O37" i="21"/>
  <c r="U37" i="21"/>
  <c r="Y37" i="21"/>
  <c r="AC37" i="21"/>
  <c r="AG37" i="21"/>
  <c r="Q37" i="21"/>
  <c r="T37" i="21"/>
  <c r="X37" i="21"/>
  <c r="AB37" i="21"/>
  <c r="AF37" i="21"/>
  <c r="S37" i="21"/>
  <c r="W37" i="21"/>
  <c r="AA37" i="21"/>
  <c r="AE37" i="21"/>
  <c r="D52" i="34"/>
  <c r="D50" i="5"/>
  <c r="Q26" i="28"/>
  <c r="V45" i="20"/>
  <c r="W45" i="20"/>
  <c r="X45" i="20"/>
  <c r="X52" i="20" s="1"/>
  <c r="Y45" i="20"/>
  <c r="Y52" i="20" s="1"/>
  <c r="Z45" i="20"/>
  <c r="AA45" i="20"/>
  <c r="AB43" i="20"/>
  <c r="AC43" i="20"/>
  <c r="AD43" i="20"/>
  <c r="AE43" i="20"/>
  <c r="AF43" i="20"/>
  <c r="W44" i="26"/>
  <c r="AA44" i="26"/>
  <c r="AE44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AG45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Y39" i="24"/>
  <c r="P33" i="26"/>
  <c r="T33" i="26"/>
  <c r="X33" i="26"/>
  <c r="AB33" i="26"/>
  <c r="AF33" i="26"/>
  <c r="J33" i="26"/>
  <c r="S33" i="26"/>
  <c r="W33" i="26"/>
  <c r="AA33" i="26"/>
  <c r="AE33" i="26"/>
  <c r="N33" i="26"/>
  <c r="R33" i="26"/>
  <c r="V33" i="26"/>
  <c r="Z33" i="26"/>
  <c r="AD33" i="26"/>
  <c r="I38" i="24"/>
  <c r="M38" i="24"/>
  <c r="Q38" i="24"/>
  <c r="L38" i="24"/>
  <c r="K38" i="24"/>
  <c r="O38" i="24"/>
  <c r="J38" i="24"/>
  <c r="N38" i="24"/>
  <c r="T38" i="24"/>
  <c r="X38" i="24"/>
  <c r="AB38" i="24"/>
  <c r="AF38" i="24"/>
  <c r="P38" i="24"/>
  <c r="S38" i="24"/>
  <c r="W38" i="24"/>
  <c r="AA38" i="24"/>
  <c r="AE38" i="24"/>
  <c r="R38" i="24"/>
  <c r="V38" i="24"/>
  <c r="Z38" i="24"/>
  <c r="AD38" i="24"/>
  <c r="I34" i="24"/>
  <c r="M34" i="24"/>
  <c r="Q34" i="24"/>
  <c r="L34" i="24"/>
  <c r="K34" i="24"/>
  <c r="O34" i="24"/>
  <c r="T34" i="24"/>
  <c r="X34" i="24"/>
  <c r="AB34" i="24"/>
  <c r="AF34" i="24"/>
  <c r="N34" i="24"/>
  <c r="P34" i="24"/>
  <c r="S34" i="24"/>
  <c r="W34" i="24"/>
  <c r="AA34" i="24"/>
  <c r="AE34" i="24"/>
  <c r="R34" i="24"/>
  <c r="V34" i="24"/>
  <c r="Z34" i="24"/>
  <c r="AD34" i="24"/>
  <c r="I30" i="24"/>
  <c r="M30" i="24"/>
  <c r="Q30" i="24"/>
  <c r="L30" i="24"/>
  <c r="K30" i="24"/>
  <c r="O30" i="24"/>
  <c r="T30" i="24"/>
  <c r="X30" i="24"/>
  <c r="AB30" i="24"/>
  <c r="AF30" i="24"/>
  <c r="P30" i="24"/>
  <c r="S30" i="24"/>
  <c r="W30" i="24"/>
  <c r="AA30" i="24"/>
  <c r="AE30" i="24"/>
  <c r="J30" i="24"/>
  <c r="N30" i="24"/>
  <c r="R30" i="24"/>
  <c r="V30" i="24"/>
  <c r="Z30" i="24"/>
  <c r="AD30" i="24"/>
  <c r="AI26" i="28"/>
  <c r="U52" i="24"/>
  <c r="W52" i="24"/>
  <c r="Y52" i="24"/>
  <c r="AA52" i="24"/>
  <c r="AC52" i="24"/>
  <c r="AE52" i="24"/>
  <c r="AG52" i="24"/>
  <c r="N52" i="25"/>
  <c r="AH52" i="25"/>
  <c r="N44" i="26"/>
  <c r="R44" i="26"/>
  <c r="V44" i="26"/>
  <c r="Z44" i="26"/>
  <c r="AD44" i="26"/>
  <c r="U39" i="24"/>
  <c r="W21" i="26"/>
  <c r="AJ21" i="26" s="1"/>
  <c r="P15" i="28"/>
  <c r="P16" i="28"/>
  <c r="P17" i="28"/>
  <c r="P14" i="28"/>
  <c r="P18" i="28"/>
  <c r="AG52" i="25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AH46" i="26" s="1"/>
  <c r="AG42" i="26"/>
  <c r="AF42" i="26"/>
  <c r="AF52" i="26" s="1"/>
  <c r="AE42" i="26"/>
  <c r="AD42" i="26"/>
  <c r="AD52" i="26" s="1"/>
  <c r="AC42" i="26"/>
  <c r="AB42" i="26"/>
  <c r="AB52" i="26" s="1"/>
  <c r="AA42" i="26"/>
  <c r="Z42" i="26"/>
  <c r="Z52" i="26" s="1"/>
  <c r="Y42" i="26"/>
  <c r="X42" i="26"/>
  <c r="X52" i="26" s="1"/>
  <c r="W42" i="26"/>
  <c r="V42" i="26"/>
  <c r="V52" i="26" s="1"/>
  <c r="U42" i="26"/>
  <c r="T42" i="26"/>
  <c r="T52" i="26" s="1"/>
  <c r="S42" i="26"/>
  <c r="R42" i="26"/>
  <c r="R52" i="26" s="1"/>
  <c r="Q42" i="26"/>
  <c r="P42" i="26"/>
  <c r="P52" i="26" s="1"/>
  <c r="O42" i="26"/>
  <c r="N42" i="26"/>
  <c r="N52" i="26" s="1"/>
  <c r="M42" i="26"/>
  <c r="L42" i="26"/>
  <c r="L52" i="26" s="1"/>
  <c r="K42" i="26"/>
  <c r="J42" i="26"/>
  <c r="J52" i="26" s="1"/>
  <c r="I42" i="26"/>
  <c r="O21" i="25"/>
  <c r="Y13" i="24"/>
  <c r="Y18" i="24"/>
  <c r="AG39" i="24"/>
  <c r="J34" i="24"/>
  <c r="I37" i="26"/>
  <c r="M37" i="26"/>
  <c r="Q37" i="26"/>
  <c r="L37" i="26"/>
  <c r="K37" i="26"/>
  <c r="O37" i="26"/>
  <c r="J30" i="26"/>
  <c r="G32" i="23"/>
  <c r="I32" i="23" s="1"/>
  <c r="I30" i="23"/>
  <c r="K30" i="23"/>
  <c r="O30" i="23"/>
  <c r="J30" i="23"/>
  <c r="N30" i="23"/>
  <c r="M30" i="23"/>
  <c r="Q30" i="23"/>
  <c r="Y13" i="20"/>
  <c r="Y18" i="20"/>
  <c r="Y10" i="20"/>
  <c r="Y14" i="20"/>
  <c r="Y19" i="20"/>
  <c r="Y11" i="20"/>
  <c r="Y16" i="20"/>
  <c r="Y20" i="20"/>
  <c r="Y12" i="20"/>
  <c r="Y17" i="20"/>
  <c r="I33" i="26"/>
  <c r="M33" i="26"/>
  <c r="Q33" i="26"/>
  <c r="L33" i="26"/>
  <c r="K33" i="26"/>
  <c r="O33" i="26"/>
  <c r="K31" i="26"/>
  <c r="O31" i="26"/>
  <c r="J31" i="26"/>
  <c r="N31" i="26"/>
  <c r="M31" i="26"/>
  <c r="Q31" i="26"/>
  <c r="J37" i="25"/>
  <c r="M37" i="25"/>
  <c r="Q37" i="25"/>
  <c r="L37" i="25"/>
  <c r="P37" i="25"/>
  <c r="K37" i="25"/>
  <c r="O37" i="25"/>
  <c r="I36" i="24"/>
  <c r="K36" i="24"/>
  <c r="O36" i="24"/>
  <c r="J36" i="24"/>
  <c r="N36" i="24"/>
  <c r="M36" i="24"/>
  <c r="Q36" i="24"/>
  <c r="I32" i="24"/>
  <c r="K32" i="24"/>
  <c r="O32" i="24"/>
  <c r="J32" i="24"/>
  <c r="N32" i="24"/>
  <c r="M32" i="24"/>
  <c r="Q32" i="24"/>
  <c r="I38" i="23"/>
  <c r="K38" i="23"/>
  <c r="O38" i="23"/>
  <c r="J38" i="23"/>
  <c r="N38" i="23"/>
  <c r="M38" i="23"/>
  <c r="Q38" i="23"/>
  <c r="J33" i="23"/>
  <c r="N33" i="23"/>
  <c r="R33" i="23"/>
  <c r="I33" i="23"/>
  <c r="M33" i="23"/>
  <c r="L33" i="23"/>
  <c r="P33" i="23"/>
  <c r="L31" i="23"/>
  <c r="P31" i="23"/>
  <c r="K31" i="23"/>
  <c r="O31" i="23"/>
  <c r="N31" i="23"/>
  <c r="R31" i="23"/>
  <c r="I30" i="21"/>
  <c r="O30" i="21"/>
  <c r="N30" i="21"/>
  <c r="Q30" i="21"/>
  <c r="I37" i="20"/>
  <c r="L37" i="20"/>
  <c r="P37" i="20"/>
  <c r="K37" i="20"/>
  <c r="O37" i="20"/>
  <c r="J37" i="20"/>
  <c r="N37" i="20"/>
  <c r="R37" i="20"/>
  <c r="L33" i="20"/>
  <c r="P33" i="20"/>
  <c r="K33" i="20"/>
  <c r="O33" i="20"/>
  <c r="J33" i="20"/>
  <c r="N33" i="20"/>
  <c r="R33" i="20"/>
  <c r="L32" i="26"/>
  <c r="P32" i="26"/>
  <c r="I32" i="26"/>
  <c r="K32" i="26"/>
  <c r="O32" i="26"/>
  <c r="J32" i="26"/>
  <c r="N32" i="26"/>
  <c r="N30" i="26"/>
  <c r="M30" i="26"/>
  <c r="L30" i="26"/>
  <c r="P30" i="26"/>
  <c r="K29" i="26"/>
  <c r="O29" i="26"/>
  <c r="L29" i="26"/>
  <c r="M29" i="26"/>
  <c r="Q29" i="26"/>
  <c r="U29" i="26"/>
  <c r="Y29" i="26"/>
  <c r="AC29" i="26"/>
  <c r="AG29" i="26"/>
  <c r="N29" i="26"/>
  <c r="R29" i="26"/>
  <c r="V29" i="26"/>
  <c r="Z29" i="26"/>
  <c r="AD29" i="26"/>
  <c r="I29" i="26"/>
  <c r="S29" i="26"/>
  <c r="W29" i="26"/>
  <c r="AA29" i="26"/>
  <c r="AE29" i="26"/>
  <c r="J29" i="26"/>
  <c r="P29" i="26"/>
  <c r="T29" i="26"/>
  <c r="X29" i="26"/>
  <c r="AB29" i="26"/>
  <c r="AF29" i="26"/>
  <c r="J33" i="25"/>
  <c r="M33" i="25"/>
  <c r="Q33" i="25"/>
  <c r="L33" i="25"/>
  <c r="P33" i="25"/>
  <c r="K33" i="25"/>
  <c r="O33" i="25"/>
  <c r="I34" i="23"/>
  <c r="K34" i="23"/>
  <c r="O34" i="23"/>
  <c r="J34" i="23"/>
  <c r="N34" i="23"/>
  <c r="M34" i="23"/>
  <c r="Q34" i="23"/>
  <c r="I31" i="23"/>
  <c r="G29" i="23"/>
  <c r="M18" i="18"/>
  <c r="F20" i="18" s="1"/>
  <c r="J37" i="24"/>
  <c r="AH37" i="24" s="1"/>
  <c r="J33" i="24"/>
  <c r="AH33" i="24" s="1"/>
  <c r="J29" i="24"/>
  <c r="J35" i="25"/>
  <c r="AI35" i="25" s="1"/>
  <c r="I35" i="24"/>
  <c r="AH35" i="24" s="1"/>
  <c r="I31" i="24"/>
  <c r="AH31" i="24" s="1"/>
  <c r="N29" i="20"/>
  <c r="I33" i="20"/>
  <c r="X29" i="20"/>
  <c r="AI21" i="26"/>
  <c r="E23" i="26" s="1"/>
  <c r="G33" i="21"/>
  <c r="G29" i="21"/>
  <c r="K29" i="20"/>
  <c r="O29" i="20"/>
  <c r="L29" i="20"/>
  <c r="P29" i="20"/>
  <c r="Q29" i="20"/>
  <c r="U29" i="20"/>
  <c r="Y29" i="20"/>
  <c r="AC29" i="20"/>
  <c r="AG29" i="20"/>
  <c r="J29" i="20"/>
  <c r="R29" i="20"/>
  <c r="V29" i="20"/>
  <c r="Z29" i="20"/>
  <c r="AD29" i="20"/>
  <c r="I29" i="20"/>
  <c r="M29" i="20"/>
  <c r="S29" i="20"/>
  <c r="W29" i="20"/>
  <c r="AA29" i="20"/>
  <c r="AE29" i="20"/>
  <c r="I36" i="22"/>
  <c r="AH20" i="24"/>
  <c r="E23" i="24" s="1"/>
  <c r="AJ21" i="25"/>
  <c r="E23" i="25" s="1"/>
  <c r="AI21" i="23"/>
  <c r="E23" i="23" s="1"/>
  <c r="AI21" i="20"/>
  <c r="E23" i="20" s="1"/>
  <c r="P10" i="28"/>
  <c r="Y10" i="28"/>
  <c r="D29" i="25"/>
  <c r="G29" i="25" s="1"/>
  <c r="S29" i="25" s="1"/>
  <c r="S39" i="25" s="1"/>
  <c r="AJ26" i="28"/>
  <c r="E28" i="28" s="1"/>
  <c r="D49" i="34" s="1"/>
  <c r="C9" i="35" s="1"/>
  <c r="AG61" i="28"/>
  <c r="AE61" i="28"/>
  <c r="AC61" i="28"/>
  <c r="AA61" i="28"/>
  <c r="Y61" i="28"/>
  <c r="W61" i="28"/>
  <c r="U61" i="28"/>
  <c r="S61" i="28"/>
  <c r="Q61" i="28"/>
  <c r="O61" i="28"/>
  <c r="M61" i="28"/>
  <c r="K61" i="28"/>
  <c r="AG43" i="28"/>
  <c r="AE43" i="28"/>
  <c r="AC43" i="28"/>
  <c r="AA43" i="28"/>
  <c r="Y43" i="28"/>
  <c r="W43" i="28"/>
  <c r="U43" i="28"/>
  <c r="S43" i="28"/>
  <c r="Q43" i="28"/>
  <c r="O43" i="28"/>
  <c r="M43" i="28"/>
  <c r="K43" i="28"/>
  <c r="AH61" i="28"/>
  <c r="AF61" i="28"/>
  <c r="AD61" i="28"/>
  <c r="AB61" i="28"/>
  <c r="Z61" i="28"/>
  <c r="X61" i="28"/>
  <c r="V61" i="28"/>
  <c r="T61" i="28"/>
  <c r="R61" i="28"/>
  <c r="P61" i="28"/>
  <c r="N61" i="28"/>
  <c r="L61" i="28"/>
  <c r="J61" i="28"/>
  <c r="AH43" i="28"/>
  <c r="AF43" i="28"/>
  <c r="AD43" i="28"/>
  <c r="AB43" i="28"/>
  <c r="Z43" i="28"/>
  <c r="X43" i="28"/>
  <c r="V43" i="28"/>
  <c r="T43" i="28"/>
  <c r="R43" i="28"/>
  <c r="P43" i="28"/>
  <c r="N43" i="28"/>
  <c r="L43" i="28"/>
  <c r="J43" i="28"/>
  <c r="AH55" i="28"/>
  <c r="AF55" i="28"/>
  <c r="AD55" i="28"/>
  <c r="AB55" i="28"/>
  <c r="Z55" i="28"/>
  <c r="X55" i="28"/>
  <c r="V55" i="28"/>
  <c r="T55" i="28"/>
  <c r="R55" i="28"/>
  <c r="P55" i="28"/>
  <c r="N55" i="28"/>
  <c r="L55" i="28"/>
  <c r="J55" i="28"/>
  <c r="AH37" i="28"/>
  <c r="AF37" i="28"/>
  <c r="AD37" i="28"/>
  <c r="AB37" i="28"/>
  <c r="Z37" i="28"/>
  <c r="X37" i="28"/>
  <c r="AG55" i="28"/>
  <c r="AE55" i="28"/>
  <c r="AC55" i="28"/>
  <c r="AA55" i="28"/>
  <c r="Y55" i="28"/>
  <c r="W55" i="28"/>
  <c r="U55" i="28"/>
  <c r="S55" i="28"/>
  <c r="Q55" i="28"/>
  <c r="O55" i="28"/>
  <c r="M55" i="28"/>
  <c r="K55" i="28"/>
  <c r="AG37" i="28"/>
  <c r="AE37" i="28"/>
  <c r="AC37" i="28"/>
  <c r="AA37" i="28"/>
  <c r="Y37" i="28"/>
  <c r="W37" i="28"/>
  <c r="U37" i="28"/>
  <c r="S37" i="28"/>
  <c r="Q37" i="28"/>
  <c r="K37" i="28"/>
  <c r="T37" i="28"/>
  <c r="P37" i="28"/>
  <c r="N37" i="28"/>
  <c r="L37" i="28"/>
  <c r="J37" i="28"/>
  <c r="V37" i="28"/>
  <c r="R37" i="28"/>
  <c r="O37" i="28"/>
  <c r="M37" i="28"/>
  <c r="AG54" i="28"/>
  <c r="AE54" i="28"/>
  <c r="AC54" i="28"/>
  <c r="AA54" i="28"/>
  <c r="Y54" i="28"/>
  <c r="W54" i="28"/>
  <c r="U54" i="28"/>
  <c r="S54" i="28"/>
  <c r="Q54" i="28"/>
  <c r="O54" i="28"/>
  <c r="M54" i="28"/>
  <c r="K54" i="28"/>
  <c r="AH54" i="28"/>
  <c r="AF54" i="28"/>
  <c r="AD54" i="28"/>
  <c r="AB54" i="28"/>
  <c r="Z54" i="28"/>
  <c r="X54" i="28"/>
  <c r="V54" i="28"/>
  <c r="T54" i="28"/>
  <c r="R54" i="28"/>
  <c r="P54" i="28"/>
  <c r="N54" i="28"/>
  <c r="L54" i="28"/>
  <c r="J54" i="28"/>
  <c r="AG36" i="28"/>
  <c r="AE36" i="28"/>
  <c r="AC36" i="28"/>
  <c r="AA36" i="28"/>
  <c r="Y36" i="28"/>
  <c r="W36" i="28"/>
  <c r="U36" i="28"/>
  <c r="S36" i="28"/>
  <c r="Q36" i="28"/>
  <c r="O36" i="28"/>
  <c r="M36" i="28"/>
  <c r="K36" i="28"/>
  <c r="AH36" i="28"/>
  <c r="AF36" i="28"/>
  <c r="AD36" i="28"/>
  <c r="AB36" i="28"/>
  <c r="Z36" i="28"/>
  <c r="X36" i="28"/>
  <c r="V36" i="28"/>
  <c r="T36" i="28"/>
  <c r="R36" i="28"/>
  <c r="P36" i="28"/>
  <c r="N36" i="28"/>
  <c r="L36" i="28"/>
  <c r="J36" i="28"/>
  <c r="AH53" i="28"/>
  <c r="AF53" i="28"/>
  <c r="AD53" i="28"/>
  <c r="AB53" i="28"/>
  <c r="Z53" i="28"/>
  <c r="X53" i="28"/>
  <c r="V53" i="28"/>
  <c r="T53" i="28"/>
  <c r="R53" i="28"/>
  <c r="P53" i="28"/>
  <c r="N53" i="28"/>
  <c r="L53" i="28"/>
  <c r="J53" i="28"/>
  <c r="AG53" i="28"/>
  <c r="AE53" i="28"/>
  <c r="AC53" i="28"/>
  <c r="AA53" i="28"/>
  <c r="Y53" i="28"/>
  <c r="W53" i="28"/>
  <c r="U53" i="28"/>
  <c r="S53" i="28"/>
  <c r="Q53" i="28"/>
  <c r="O53" i="28"/>
  <c r="M53" i="28"/>
  <c r="K53" i="28"/>
  <c r="AH35" i="28"/>
  <c r="AF35" i="28"/>
  <c r="AD35" i="28"/>
  <c r="AB35" i="28"/>
  <c r="Z35" i="28"/>
  <c r="X35" i="28"/>
  <c r="V35" i="28"/>
  <c r="T35" i="28"/>
  <c r="R35" i="28"/>
  <c r="P35" i="28"/>
  <c r="N35" i="28"/>
  <c r="L35" i="28"/>
  <c r="J35" i="28"/>
  <c r="AG35" i="28"/>
  <c r="AE35" i="28"/>
  <c r="AC35" i="28"/>
  <c r="AA35" i="28"/>
  <c r="Y35" i="28"/>
  <c r="W35" i="28"/>
  <c r="U35" i="28"/>
  <c r="S35" i="28"/>
  <c r="Q35" i="28"/>
  <c r="O35" i="28"/>
  <c r="M35" i="28"/>
  <c r="K35" i="28"/>
  <c r="AG52" i="28"/>
  <c r="AE52" i="28"/>
  <c r="AC52" i="28"/>
  <c r="AA52" i="28"/>
  <c r="Y52" i="28"/>
  <c r="W52" i="28"/>
  <c r="U52" i="28"/>
  <c r="S52" i="28"/>
  <c r="Q52" i="28"/>
  <c r="O52" i="28"/>
  <c r="M52" i="28"/>
  <c r="K52" i="28"/>
  <c r="AH52" i="28"/>
  <c r="AF52" i="28"/>
  <c r="AD52" i="28"/>
  <c r="AB52" i="28"/>
  <c r="AB67" i="28" s="1"/>
  <c r="Z52" i="28"/>
  <c r="X52" i="28"/>
  <c r="V52" i="28"/>
  <c r="T52" i="28"/>
  <c r="T67" i="28" s="1"/>
  <c r="R52" i="28"/>
  <c r="P52" i="28"/>
  <c r="N52" i="28"/>
  <c r="L52" i="28"/>
  <c r="L67" i="28" s="1"/>
  <c r="J52" i="28"/>
  <c r="AF34" i="28"/>
  <c r="R34" i="28"/>
  <c r="N34" i="28"/>
  <c r="J34" i="28"/>
  <c r="AG34" i="28"/>
  <c r="AE34" i="28"/>
  <c r="AC34" i="28"/>
  <c r="AA34" i="28"/>
  <c r="Y34" i="28"/>
  <c r="W34" i="28"/>
  <c r="U34" i="28"/>
  <c r="S34" i="28"/>
  <c r="Q34" i="28"/>
  <c r="O34" i="28"/>
  <c r="M34" i="28"/>
  <c r="K34" i="28"/>
  <c r="AH34" i="28"/>
  <c r="AD34" i="28"/>
  <c r="AB34" i="28"/>
  <c r="Z34" i="28"/>
  <c r="X34" i="28"/>
  <c r="V34" i="28"/>
  <c r="T34" i="28"/>
  <c r="P34" i="28"/>
  <c r="L34" i="28"/>
  <c r="F22" i="33" l="1"/>
  <c r="X21" i="23"/>
  <c r="Y26" i="28"/>
  <c r="F5" i="36"/>
  <c r="F22" i="36"/>
  <c r="Y31" i="21"/>
  <c r="Z39" i="26"/>
  <c r="AG39" i="26"/>
  <c r="AB12" i="34" s="1"/>
  <c r="J33" i="22"/>
  <c r="J30" i="21"/>
  <c r="Y19" i="24"/>
  <c r="Y14" i="24"/>
  <c r="Y16" i="24"/>
  <c r="Z16" i="24"/>
  <c r="Z19" i="24"/>
  <c r="AA16" i="24"/>
  <c r="AA14" i="24"/>
  <c r="AA13" i="24"/>
  <c r="Z11" i="23"/>
  <c r="AC30" i="21"/>
  <c r="S30" i="21"/>
  <c r="AD30" i="21"/>
  <c r="AA17" i="24"/>
  <c r="Z10" i="24"/>
  <c r="AA15" i="24"/>
  <c r="AA11" i="24"/>
  <c r="Z15" i="24"/>
  <c r="AA12" i="23"/>
  <c r="AA18" i="23"/>
  <c r="W30" i="21"/>
  <c r="R31" i="20"/>
  <c r="Y15" i="24"/>
  <c r="Y10" i="24"/>
  <c r="Y12" i="24"/>
  <c r="M30" i="21"/>
  <c r="K30" i="21"/>
  <c r="Y11" i="24"/>
  <c r="Y17" i="24"/>
  <c r="Z17" i="24"/>
  <c r="Z18" i="24"/>
  <c r="AA18" i="24"/>
  <c r="AA19" i="24"/>
  <c r="AA25" i="28"/>
  <c r="AB21" i="28"/>
  <c r="AG30" i="21"/>
  <c r="P30" i="21"/>
  <c r="X30" i="21"/>
  <c r="AF39" i="24"/>
  <c r="P32" i="21"/>
  <c r="I31" i="20"/>
  <c r="P31" i="20"/>
  <c r="P39" i="20" s="1"/>
  <c r="K7" i="5" s="1"/>
  <c r="N31" i="20"/>
  <c r="N30" i="22"/>
  <c r="L31" i="20"/>
  <c r="L39" i="20" s="1"/>
  <c r="G7" i="5" s="1"/>
  <c r="J31" i="20"/>
  <c r="J39" i="20" s="1"/>
  <c r="E7" i="34" s="1"/>
  <c r="R31" i="21"/>
  <c r="AA18" i="28"/>
  <c r="AB18" i="28"/>
  <c r="AA23" i="28"/>
  <c r="AB10" i="28"/>
  <c r="AB16" i="28"/>
  <c r="AA15" i="28"/>
  <c r="AA16" i="28"/>
  <c r="AB20" i="25"/>
  <c r="AA22" i="28"/>
  <c r="AB12" i="28"/>
  <c r="AB13" i="28"/>
  <c r="Q31" i="21"/>
  <c r="K31" i="21"/>
  <c r="W39" i="26"/>
  <c r="R12" i="5" s="1"/>
  <c r="W29" i="22"/>
  <c r="AB39" i="24"/>
  <c r="AA14" i="28"/>
  <c r="AB14" i="28"/>
  <c r="AB17" i="28"/>
  <c r="AA15" i="25"/>
  <c r="AB25" i="28"/>
  <c r="AA10" i="28"/>
  <c r="AB11" i="28"/>
  <c r="AA39" i="24"/>
  <c r="AB10" i="21"/>
  <c r="S22" i="21"/>
  <c r="W22" i="21" s="1"/>
  <c r="AF32" i="21"/>
  <c r="AE31" i="21"/>
  <c r="O32" i="21"/>
  <c r="AC31" i="21"/>
  <c r="AD39" i="26"/>
  <c r="Y12" i="34" s="1"/>
  <c r="U39" i="26"/>
  <c r="P12" i="34" s="1"/>
  <c r="AB32" i="21"/>
  <c r="Z30" i="22"/>
  <c r="Y21" i="21"/>
  <c r="Z14" i="22"/>
  <c r="T48" i="22"/>
  <c r="O22" i="5" s="1"/>
  <c r="O33" i="22"/>
  <c r="AE48" i="22"/>
  <c r="AH45" i="22"/>
  <c r="M33" i="22"/>
  <c r="K33" i="22"/>
  <c r="Y13" i="22"/>
  <c r="Q33" i="22"/>
  <c r="I33" i="22"/>
  <c r="AD29" i="22"/>
  <c r="Z29" i="22"/>
  <c r="P39" i="26"/>
  <c r="K12" i="34" s="1"/>
  <c r="K39" i="26"/>
  <c r="F12" i="34" s="1"/>
  <c r="AE30" i="22"/>
  <c r="O30" i="22"/>
  <c r="V30" i="22"/>
  <c r="L30" i="22"/>
  <c r="AA36" i="21"/>
  <c r="N67" i="28"/>
  <c r="H31" i="34" s="1"/>
  <c r="V67" i="28"/>
  <c r="AD67" i="28"/>
  <c r="X31" i="34" s="1"/>
  <c r="P67" i="28"/>
  <c r="J31" i="34" s="1"/>
  <c r="X67" i="28"/>
  <c r="R31" i="34" s="1"/>
  <c r="AF67" i="28"/>
  <c r="Z29" i="5" s="1"/>
  <c r="R67" i="28"/>
  <c r="L31" i="34" s="1"/>
  <c r="Z67" i="28"/>
  <c r="T29" i="5" s="1"/>
  <c r="AH67" i="28"/>
  <c r="AB31" i="34" s="1"/>
  <c r="AH35" i="22"/>
  <c r="AA52" i="20"/>
  <c r="Z36" i="21"/>
  <c r="AH48" i="21"/>
  <c r="AG36" i="21"/>
  <c r="K36" i="21"/>
  <c r="N36" i="21"/>
  <c r="L36" i="21"/>
  <c r="Q36" i="21"/>
  <c r="U36" i="21"/>
  <c r="V36" i="21"/>
  <c r="R36" i="21"/>
  <c r="AB36" i="21"/>
  <c r="AF36" i="21"/>
  <c r="AC36" i="21"/>
  <c r="O36" i="21"/>
  <c r="J36" i="21"/>
  <c r="I36" i="21"/>
  <c r="W36" i="21"/>
  <c r="AD36" i="21"/>
  <c r="P36" i="21"/>
  <c r="M36" i="21"/>
  <c r="T36" i="21"/>
  <c r="AE36" i="21"/>
  <c r="X36" i="21"/>
  <c r="S36" i="21"/>
  <c r="O23" i="5"/>
  <c r="Z52" i="20"/>
  <c r="G25" i="34"/>
  <c r="G23" i="5"/>
  <c r="N25" i="34"/>
  <c r="N23" i="5"/>
  <c r="L25" i="34"/>
  <c r="L23" i="5"/>
  <c r="E25" i="34"/>
  <c r="E23" i="5"/>
  <c r="J25" i="34"/>
  <c r="J23" i="5"/>
  <c r="I25" i="34"/>
  <c r="I23" i="5"/>
  <c r="F25" i="34"/>
  <c r="F23" i="5"/>
  <c r="P25" i="34"/>
  <c r="P23" i="5"/>
  <c r="D25" i="34"/>
  <c r="D23" i="5"/>
  <c r="W52" i="20"/>
  <c r="R23" i="5" s="1"/>
  <c r="K25" i="34"/>
  <c r="K23" i="5"/>
  <c r="H25" i="34"/>
  <c r="H23" i="5"/>
  <c r="D39" i="34"/>
  <c r="J34" i="22"/>
  <c r="AG34" i="22"/>
  <c r="M34" i="22"/>
  <c r="I34" i="22"/>
  <c r="R34" i="22"/>
  <c r="AA34" i="22"/>
  <c r="S34" i="22"/>
  <c r="X34" i="22"/>
  <c r="V34" i="22"/>
  <c r="Z34" i="22"/>
  <c r="T34" i="22"/>
  <c r="W34" i="22"/>
  <c r="L34" i="22"/>
  <c r="P34" i="22"/>
  <c r="Y34" i="22"/>
  <c r="AF34" i="22"/>
  <c r="U34" i="22"/>
  <c r="K34" i="22"/>
  <c r="AD34" i="22"/>
  <c r="N34" i="22"/>
  <c r="AC34" i="22"/>
  <c r="Q34" i="22"/>
  <c r="O34" i="22"/>
  <c r="AA31" i="21"/>
  <c r="X32" i="21"/>
  <c r="V31" i="21"/>
  <c r="AG31" i="21"/>
  <c r="N31" i="21"/>
  <c r="P31" i="21"/>
  <c r="U31" i="21"/>
  <c r="AF31" i="21"/>
  <c r="S31" i="21"/>
  <c r="J31" i="21"/>
  <c r="L31" i="21"/>
  <c r="O31" i="21"/>
  <c r="I31" i="21"/>
  <c r="V32" i="21"/>
  <c r="AH35" i="21"/>
  <c r="W31" i="21"/>
  <c r="AB31" i="21"/>
  <c r="X31" i="21"/>
  <c r="AD31" i="21"/>
  <c r="S32" i="21"/>
  <c r="AE32" i="21"/>
  <c r="AC32" i="21"/>
  <c r="M32" i="21"/>
  <c r="W32" i="21"/>
  <c r="I32" i="21"/>
  <c r="L30" i="21"/>
  <c r="V30" i="21"/>
  <c r="AA30" i="21"/>
  <c r="AE30" i="21"/>
  <c r="AF30" i="21"/>
  <c r="AA19" i="21"/>
  <c r="U32" i="21"/>
  <c r="K32" i="21"/>
  <c r="L32" i="21"/>
  <c r="T32" i="21"/>
  <c r="Y32" i="21"/>
  <c r="N32" i="21"/>
  <c r="AD32" i="21"/>
  <c r="R32" i="21"/>
  <c r="Z32" i="21"/>
  <c r="AA32" i="21"/>
  <c r="J32" i="21"/>
  <c r="Q32" i="21"/>
  <c r="M31" i="21"/>
  <c r="Z31" i="21"/>
  <c r="U30" i="21"/>
  <c r="Y29" i="22"/>
  <c r="J29" i="22"/>
  <c r="Z11" i="22"/>
  <c r="I31" i="22"/>
  <c r="I29" i="22"/>
  <c r="AD48" i="22"/>
  <c r="Y22" i="5" s="1"/>
  <c r="AF48" i="22"/>
  <c r="AA24" i="34" s="1"/>
  <c r="R48" i="22"/>
  <c r="M24" i="34" s="1"/>
  <c r="AA13" i="22"/>
  <c r="AD30" i="22"/>
  <c r="Q30" i="22"/>
  <c r="P30" i="22"/>
  <c r="AH44" i="22"/>
  <c r="T29" i="22"/>
  <c r="Y11" i="22"/>
  <c r="AA12" i="22"/>
  <c r="AA32" i="22"/>
  <c r="W32" i="22"/>
  <c r="U32" i="22"/>
  <c r="AG32" i="22"/>
  <c r="L32" i="22"/>
  <c r="AB30" i="22"/>
  <c r="U30" i="22"/>
  <c r="AF30" i="22"/>
  <c r="AH36" i="22"/>
  <c r="P29" i="22"/>
  <c r="U29" i="22"/>
  <c r="AF29" i="22"/>
  <c r="L29" i="22"/>
  <c r="S29" i="22"/>
  <c r="M29" i="22"/>
  <c r="Y14" i="22"/>
  <c r="Y17" i="22"/>
  <c r="AC48" i="22"/>
  <c r="X22" i="5" s="1"/>
  <c r="Z17" i="22"/>
  <c r="Z10" i="22"/>
  <c r="Z12" i="22"/>
  <c r="Z13" i="22"/>
  <c r="O48" i="22"/>
  <c r="J22" i="5" s="1"/>
  <c r="AG29" i="22"/>
  <c r="Q29" i="22"/>
  <c r="AB29" i="22"/>
  <c r="AE29" i="22"/>
  <c r="K29" i="22"/>
  <c r="Y10" i="22"/>
  <c r="Y12" i="22"/>
  <c r="M48" i="22"/>
  <c r="H24" i="34" s="1"/>
  <c r="V48" i="22"/>
  <c r="Q22" i="5" s="1"/>
  <c r="AA10" i="22"/>
  <c r="AA14" i="22"/>
  <c r="AA11" i="22"/>
  <c r="AA17" i="22"/>
  <c r="T30" i="22"/>
  <c r="X30" i="22"/>
  <c r="AC30" i="22"/>
  <c r="K30" i="22"/>
  <c r="Y30" i="22"/>
  <c r="M30" i="22"/>
  <c r="L48" i="22"/>
  <c r="G22" i="5" s="1"/>
  <c r="AB48" i="22"/>
  <c r="W24" i="34" s="1"/>
  <c r="AH41" i="22"/>
  <c r="V29" i="22"/>
  <c r="AC29" i="22"/>
  <c r="O29" i="22"/>
  <c r="X29" i="22"/>
  <c r="AA29" i="22"/>
  <c r="N29" i="22"/>
  <c r="Y16" i="22"/>
  <c r="Y18" i="22"/>
  <c r="Z48" i="22"/>
  <c r="U22" i="5" s="1"/>
  <c r="AA48" i="22"/>
  <c r="V22" i="5" s="1"/>
  <c r="AA18" i="22"/>
  <c r="AA16" i="22"/>
  <c r="Z16" i="22"/>
  <c r="I32" i="22"/>
  <c r="V32" i="22"/>
  <c r="Y32" i="22"/>
  <c r="AD32" i="22"/>
  <c r="R32" i="22"/>
  <c r="AE32" i="22"/>
  <c r="J30" i="22"/>
  <c r="AG30" i="22"/>
  <c r="R30" i="22"/>
  <c r="AA30" i="22"/>
  <c r="S30" i="22"/>
  <c r="W30" i="22"/>
  <c r="P33" i="22"/>
  <c r="X33" i="22"/>
  <c r="Z33" i="22"/>
  <c r="AA33" i="22"/>
  <c r="AD33" i="22"/>
  <c r="AF33" i="22"/>
  <c r="L33" i="22"/>
  <c r="AE33" i="22"/>
  <c r="W33" i="22"/>
  <c r="AB33" i="22"/>
  <c r="R33" i="22"/>
  <c r="S33" i="22"/>
  <c r="V33" i="22"/>
  <c r="U33" i="22"/>
  <c r="Y33" i="22"/>
  <c r="AC33" i="22"/>
  <c r="AG33" i="22"/>
  <c r="T33" i="22"/>
  <c r="L31" i="22"/>
  <c r="T39" i="26"/>
  <c r="O12" i="34" s="1"/>
  <c r="Y10" i="23"/>
  <c r="Z14" i="23"/>
  <c r="Y20" i="23"/>
  <c r="AA13" i="23"/>
  <c r="Z19" i="23"/>
  <c r="Z13" i="23"/>
  <c r="AA10" i="23"/>
  <c r="Z16" i="23"/>
  <c r="Y18" i="23"/>
  <c r="AA19" i="23"/>
  <c r="Z17" i="23"/>
  <c r="Y11" i="23"/>
  <c r="Y14" i="23"/>
  <c r="Y12" i="23"/>
  <c r="AA11" i="23"/>
  <c r="Z18" i="23"/>
  <c r="Y19" i="23"/>
  <c r="Y17" i="23"/>
  <c r="AA16" i="23"/>
  <c r="Z12" i="23"/>
  <c r="Z10" i="23"/>
  <c r="Y13" i="23"/>
  <c r="Y16" i="23"/>
  <c r="AA17" i="23"/>
  <c r="Z20" i="23"/>
  <c r="AA16" i="21"/>
  <c r="Z15" i="21"/>
  <c r="AA15" i="21"/>
  <c r="Z20" i="21"/>
  <c r="AB16" i="21"/>
  <c r="Z17" i="25"/>
  <c r="Z20" i="25"/>
  <c r="AA16" i="25"/>
  <c r="AA17" i="21"/>
  <c r="O21" i="22"/>
  <c r="O24" i="34"/>
  <c r="E24" i="26"/>
  <c r="S48" i="22"/>
  <c r="N22" i="5" s="1"/>
  <c r="U48" i="22"/>
  <c r="P22" i="5" s="1"/>
  <c r="Z24" i="34"/>
  <c r="Z22" i="5"/>
  <c r="P48" i="22"/>
  <c r="K24" i="34" s="1"/>
  <c r="I48" i="22"/>
  <c r="N48" i="22"/>
  <c r="I22" i="5" s="1"/>
  <c r="AH34" i="21"/>
  <c r="D44" i="34"/>
  <c r="D42" i="5"/>
  <c r="AH42" i="21"/>
  <c r="T39" i="24"/>
  <c r="O10" i="34" s="1"/>
  <c r="W39" i="24"/>
  <c r="R10" i="34" s="1"/>
  <c r="N49" i="28"/>
  <c r="H13" i="34" s="1"/>
  <c r="O49" i="28"/>
  <c r="I13" i="34" s="1"/>
  <c r="O20" i="24"/>
  <c r="AA11" i="28"/>
  <c r="AB22" i="28"/>
  <c r="AA19" i="28"/>
  <c r="AA21" i="28"/>
  <c r="AA24" i="28"/>
  <c r="AB19" i="28"/>
  <c r="AB24" i="28"/>
  <c r="AA12" i="28"/>
  <c r="AB23" i="28"/>
  <c r="AA13" i="28"/>
  <c r="AD49" i="28"/>
  <c r="X13" i="34" s="1"/>
  <c r="R49" i="28"/>
  <c r="L13" i="34" s="1"/>
  <c r="AB39" i="26"/>
  <c r="W12" i="34" s="1"/>
  <c r="Q31" i="22"/>
  <c r="S39" i="24"/>
  <c r="N10" i="34" s="1"/>
  <c r="X39" i="24"/>
  <c r="S10" i="5" s="1"/>
  <c r="AA17" i="25"/>
  <c r="AA19" i="25"/>
  <c r="Z15" i="25"/>
  <c r="Z10" i="25"/>
  <c r="AA10" i="25"/>
  <c r="AB14" i="25"/>
  <c r="V49" i="28"/>
  <c r="P13" i="5" s="1"/>
  <c r="AH49" i="28"/>
  <c r="AB13" i="34" s="1"/>
  <c r="AB11" i="34"/>
  <c r="AE39" i="26"/>
  <c r="Z12" i="5" s="1"/>
  <c r="R39" i="26"/>
  <c r="M12" i="34" s="1"/>
  <c r="O31" i="22"/>
  <c r="M31" i="22"/>
  <c r="Z19" i="25"/>
  <c r="AA18" i="25"/>
  <c r="AB10" i="25"/>
  <c r="AB18" i="25"/>
  <c r="Z18" i="25"/>
  <c r="AA20" i="25"/>
  <c r="P21" i="25"/>
  <c r="Z49" i="28"/>
  <c r="T13" i="5" s="1"/>
  <c r="S49" i="28"/>
  <c r="M13" i="34" s="1"/>
  <c r="AA49" i="28"/>
  <c r="U13" i="5" s="1"/>
  <c r="R39" i="20"/>
  <c r="M7" i="34" s="1"/>
  <c r="AA39" i="26"/>
  <c r="V12" i="5" s="1"/>
  <c r="O39" i="26"/>
  <c r="J12" i="34" s="1"/>
  <c r="M39" i="24"/>
  <c r="H10" i="5" s="1"/>
  <c r="R39" i="24"/>
  <c r="M10" i="34" s="1"/>
  <c r="AB17" i="25"/>
  <c r="AA14" i="25"/>
  <c r="AB19" i="25"/>
  <c r="AB15" i="25"/>
  <c r="Z16" i="25"/>
  <c r="AH30" i="20"/>
  <c r="L49" i="28"/>
  <c r="F13" i="5" s="1"/>
  <c r="X49" i="28"/>
  <c r="R13" i="5" s="1"/>
  <c r="T11" i="5"/>
  <c r="P26" i="28"/>
  <c r="AF39" i="26"/>
  <c r="AA12" i="34" s="1"/>
  <c r="Q39" i="26"/>
  <c r="Z13" i="21"/>
  <c r="Z16" i="21"/>
  <c r="Z10" i="21"/>
  <c r="AB13" i="21"/>
  <c r="AB17" i="21"/>
  <c r="AA20" i="21"/>
  <c r="AA13" i="21"/>
  <c r="P49" i="28"/>
  <c r="J13" i="5" s="1"/>
  <c r="K49" i="28"/>
  <c r="E13" i="34" s="1"/>
  <c r="AH33" i="20"/>
  <c r="AH31" i="23"/>
  <c r="S39" i="26"/>
  <c r="N12" i="34" s="1"/>
  <c r="V39" i="26"/>
  <c r="Q12" i="5" s="1"/>
  <c r="AC39" i="26"/>
  <c r="X12" i="5" s="1"/>
  <c r="Z17" i="21"/>
  <c r="Z11" i="21"/>
  <c r="AA11" i="21"/>
  <c r="AB11" i="21"/>
  <c r="AB19" i="21"/>
  <c r="AB15" i="21"/>
  <c r="T49" i="28"/>
  <c r="N13" i="5" s="1"/>
  <c r="AB49" i="28"/>
  <c r="V13" i="34" s="1"/>
  <c r="M39" i="20"/>
  <c r="H7" i="34" s="1"/>
  <c r="N39" i="20"/>
  <c r="I7" i="5" s="1"/>
  <c r="X39" i="26"/>
  <c r="S12" i="34" s="1"/>
  <c r="Y39" i="26"/>
  <c r="T12" i="34" s="1"/>
  <c r="Z12" i="21"/>
  <c r="Z19" i="21"/>
  <c r="Z39" i="24"/>
  <c r="U10" i="5" s="1"/>
  <c r="L39" i="24"/>
  <c r="G10" i="5" s="1"/>
  <c r="AB12" i="21"/>
  <c r="AB20" i="21"/>
  <c r="AA12" i="21"/>
  <c r="AA10" i="21"/>
  <c r="AH32" i="20"/>
  <c r="M39" i="26"/>
  <c r="H12" i="5" s="1"/>
  <c r="AE39" i="24"/>
  <c r="Z10" i="34" s="1"/>
  <c r="Q39" i="24"/>
  <c r="L10" i="34" s="1"/>
  <c r="O21" i="26"/>
  <c r="L39" i="26"/>
  <c r="G12" i="34" s="1"/>
  <c r="AD39" i="24"/>
  <c r="Y10" i="34" s="1"/>
  <c r="J31" i="22"/>
  <c r="P31" i="22"/>
  <c r="R31" i="22"/>
  <c r="S31" i="22"/>
  <c r="U31" i="22"/>
  <c r="AB31" i="22"/>
  <c r="AD31" i="22"/>
  <c r="W31" i="22"/>
  <c r="Y31" i="22"/>
  <c r="AF31" i="22"/>
  <c r="T31" i="22"/>
  <c r="V31" i="22"/>
  <c r="AA31" i="22"/>
  <c r="AC31" i="22"/>
  <c r="N31" i="22"/>
  <c r="X31" i="22"/>
  <c r="Z31" i="22"/>
  <c r="AE31" i="22"/>
  <c r="AG31" i="22"/>
  <c r="AA12" i="26"/>
  <c r="AA13" i="26"/>
  <c r="AA14" i="26"/>
  <c r="AA10" i="26"/>
  <c r="Z20" i="26"/>
  <c r="Z19" i="26"/>
  <c r="Z18" i="26"/>
  <c r="Z17" i="26"/>
  <c r="Z14" i="26"/>
  <c r="Z10" i="26"/>
  <c r="AA11" i="26"/>
  <c r="Z11" i="26"/>
  <c r="Z12" i="26"/>
  <c r="Z13" i="26"/>
  <c r="Z16" i="26"/>
  <c r="X31" i="20"/>
  <c r="X39" i="20" s="1"/>
  <c r="Z31" i="20"/>
  <c r="Z39" i="20" s="1"/>
  <c r="AE31" i="20"/>
  <c r="AE39" i="20" s="1"/>
  <c r="AG31" i="20"/>
  <c r="AG39" i="20" s="1"/>
  <c r="K31" i="20"/>
  <c r="K39" i="20" s="1"/>
  <c r="S31" i="20"/>
  <c r="S39" i="20" s="1"/>
  <c r="U31" i="20"/>
  <c r="U39" i="20" s="1"/>
  <c r="AB31" i="20"/>
  <c r="AB39" i="20" s="1"/>
  <c r="W7" i="34" s="1"/>
  <c r="AD31" i="20"/>
  <c r="AD39" i="20" s="1"/>
  <c r="O31" i="20"/>
  <c r="O39" i="20" s="1"/>
  <c r="W31" i="20"/>
  <c r="W39" i="20" s="1"/>
  <c r="Y31" i="20"/>
  <c r="Y39" i="20" s="1"/>
  <c r="AF31" i="20"/>
  <c r="AF39" i="20" s="1"/>
  <c r="AA7" i="34" s="1"/>
  <c r="Q31" i="20"/>
  <c r="Q39" i="20" s="1"/>
  <c r="T31" i="20"/>
  <c r="T39" i="20" s="1"/>
  <c r="O7" i="5" s="1"/>
  <c r="V31" i="20"/>
  <c r="V39" i="20" s="1"/>
  <c r="AA31" i="20"/>
  <c r="AA39" i="20" s="1"/>
  <c r="AC31" i="20"/>
  <c r="AC39" i="20" s="1"/>
  <c r="D37" i="5"/>
  <c r="E5" i="4" s="1"/>
  <c r="D16" i="4" s="1"/>
  <c r="F16" i="4" s="1"/>
  <c r="Z11" i="5"/>
  <c r="P21" i="21"/>
  <c r="O21" i="23"/>
  <c r="O21" i="20"/>
  <c r="Z21" i="20"/>
  <c r="AA21" i="20"/>
  <c r="Z20" i="24"/>
  <c r="V11" i="5"/>
  <c r="V11" i="34"/>
  <c r="AA11" i="5"/>
  <c r="K29" i="34"/>
  <c r="S11" i="5"/>
  <c r="X11" i="5"/>
  <c r="K29" i="25"/>
  <c r="K39" i="25" s="1"/>
  <c r="W29" i="25"/>
  <c r="W39" i="25" s="1"/>
  <c r="Q11" i="34" s="1"/>
  <c r="N29" i="25"/>
  <c r="N39" i="25" s="1"/>
  <c r="H11" i="34" s="1"/>
  <c r="L29" i="25"/>
  <c r="L39" i="25" s="1"/>
  <c r="F11" i="5" s="1"/>
  <c r="Y11" i="5"/>
  <c r="Y11" i="34"/>
  <c r="M11" i="34"/>
  <c r="M11" i="5"/>
  <c r="M29" i="25"/>
  <c r="M39" i="25" s="1"/>
  <c r="G11" i="5" s="1"/>
  <c r="P29" i="25"/>
  <c r="P39" i="25" s="1"/>
  <c r="T29" i="25"/>
  <c r="T39" i="25" s="1"/>
  <c r="Q29" i="25"/>
  <c r="Q39" i="25" s="1"/>
  <c r="Z27" i="5"/>
  <c r="J29" i="25"/>
  <c r="J39" i="25" s="1"/>
  <c r="R29" i="25"/>
  <c r="R39" i="25" s="1"/>
  <c r="U11" i="5"/>
  <c r="X29" i="25"/>
  <c r="X39" i="25" s="1"/>
  <c r="U29" i="25"/>
  <c r="U39" i="25" s="1"/>
  <c r="W11" i="5"/>
  <c r="O29" i="25"/>
  <c r="O39" i="25" s="1"/>
  <c r="Y21" i="25"/>
  <c r="V29" i="25"/>
  <c r="V39" i="25" s="1"/>
  <c r="Y29" i="34"/>
  <c r="Y27" i="5"/>
  <c r="V29" i="34"/>
  <c r="V27" i="5"/>
  <c r="R29" i="34"/>
  <c r="R27" i="5"/>
  <c r="N29" i="34"/>
  <c r="N27" i="5"/>
  <c r="G29" i="34"/>
  <c r="G27" i="5"/>
  <c r="AI42" i="25"/>
  <c r="AI52" i="25" s="1"/>
  <c r="O29" i="34"/>
  <c r="O27" i="5"/>
  <c r="W10" i="5"/>
  <c r="W10" i="34"/>
  <c r="S10" i="34"/>
  <c r="D46" i="34"/>
  <c r="D44" i="5"/>
  <c r="I39" i="20"/>
  <c r="AH29" i="20"/>
  <c r="J29" i="21"/>
  <c r="N29" i="21"/>
  <c r="R29" i="21"/>
  <c r="M29" i="21"/>
  <c r="L29" i="21"/>
  <c r="P29" i="21"/>
  <c r="U29" i="21"/>
  <c r="Y29" i="21"/>
  <c r="AC29" i="21"/>
  <c r="AG29" i="21"/>
  <c r="K29" i="21"/>
  <c r="T29" i="21"/>
  <c r="X29" i="21"/>
  <c r="AB29" i="21"/>
  <c r="AF29" i="21"/>
  <c r="O29" i="21"/>
  <c r="Q29" i="21"/>
  <c r="S29" i="21"/>
  <c r="W29" i="21"/>
  <c r="AA29" i="21"/>
  <c r="AE29" i="21"/>
  <c r="V29" i="21"/>
  <c r="Z29" i="21"/>
  <c r="AD29" i="21"/>
  <c r="J39" i="26"/>
  <c r="N12" i="5"/>
  <c r="AH32" i="26"/>
  <c r="AH37" i="20"/>
  <c r="AH38" i="23"/>
  <c r="M32" i="23"/>
  <c r="Q32" i="23"/>
  <c r="L32" i="23"/>
  <c r="K32" i="23"/>
  <c r="O32" i="23"/>
  <c r="T32" i="23"/>
  <c r="X32" i="23"/>
  <c r="AB32" i="23"/>
  <c r="AF32" i="23"/>
  <c r="N32" i="23"/>
  <c r="S32" i="23"/>
  <c r="W32" i="23"/>
  <c r="AA32" i="23"/>
  <c r="AE32" i="23"/>
  <c r="J32" i="23"/>
  <c r="P32" i="23"/>
  <c r="V32" i="23"/>
  <c r="Z32" i="23"/>
  <c r="AD32" i="23"/>
  <c r="AG32" i="23"/>
  <c r="U32" i="23"/>
  <c r="R32" i="23"/>
  <c r="Y32" i="23"/>
  <c r="AC32" i="23"/>
  <c r="K52" i="26"/>
  <c r="O52" i="26"/>
  <c r="S52" i="26"/>
  <c r="W52" i="26"/>
  <c r="AA52" i="26"/>
  <c r="AE52" i="26"/>
  <c r="AA29" i="34"/>
  <c r="AA27" i="5"/>
  <c r="P10" i="34"/>
  <c r="P10" i="5"/>
  <c r="W29" i="34"/>
  <c r="W27" i="5"/>
  <c r="AB28" i="34"/>
  <c r="AB26" i="5"/>
  <c r="T28" i="34"/>
  <c r="T26" i="5"/>
  <c r="V39" i="24"/>
  <c r="P39" i="24"/>
  <c r="T10" i="34"/>
  <c r="T10" i="5"/>
  <c r="AH45" i="26"/>
  <c r="U29" i="34"/>
  <c r="U27" i="5"/>
  <c r="D29" i="34"/>
  <c r="D27" i="5"/>
  <c r="T25" i="34"/>
  <c r="T23" i="5"/>
  <c r="T29" i="34"/>
  <c r="T27" i="5"/>
  <c r="Y28" i="34"/>
  <c r="Y26" i="5"/>
  <c r="Q28" i="34"/>
  <c r="Q26" i="5"/>
  <c r="AD52" i="20"/>
  <c r="V50" i="21"/>
  <c r="AC50" i="21"/>
  <c r="AB50" i="21"/>
  <c r="P50" i="21"/>
  <c r="Z50" i="21"/>
  <c r="T50" i="21"/>
  <c r="AA50" i="21"/>
  <c r="W48" i="22"/>
  <c r="AH42" i="22"/>
  <c r="J48" i="22"/>
  <c r="O52" i="23"/>
  <c r="AF52" i="23"/>
  <c r="Q52" i="23"/>
  <c r="AB52" i="23"/>
  <c r="M52" i="23"/>
  <c r="J52" i="23"/>
  <c r="X52" i="23"/>
  <c r="D43" i="34"/>
  <c r="D41" i="5"/>
  <c r="D45" i="34"/>
  <c r="C5" i="35" s="1"/>
  <c r="D43" i="5"/>
  <c r="C5" i="36" s="1"/>
  <c r="I33" i="21"/>
  <c r="J33" i="21"/>
  <c r="N33" i="21"/>
  <c r="R33" i="21"/>
  <c r="M33" i="21"/>
  <c r="L33" i="21"/>
  <c r="P33" i="21"/>
  <c r="O33" i="21"/>
  <c r="U33" i="21"/>
  <c r="Y33" i="21"/>
  <c r="AC33" i="21"/>
  <c r="AG33" i="21"/>
  <c r="Q33" i="21"/>
  <c r="T33" i="21"/>
  <c r="X33" i="21"/>
  <c r="AB33" i="21"/>
  <c r="AF33" i="21"/>
  <c r="S33" i="21"/>
  <c r="W33" i="21"/>
  <c r="AA33" i="21"/>
  <c r="AE33" i="21"/>
  <c r="V33" i="21"/>
  <c r="K33" i="21"/>
  <c r="Z33" i="21"/>
  <c r="AD33" i="21"/>
  <c r="D42" i="34"/>
  <c r="D40" i="5"/>
  <c r="D50" i="34"/>
  <c r="D48" i="5"/>
  <c r="D61" i="5" s="1"/>
  <c r="I39" i="26"/>
  <c r="AH29" i="26"/>
  <c r="AI37" i="25"/>
  <c r="AH31" i="26"/>
  <c r="AH33" i="26"/>
  <c r="Y21" i="20"/>
  <c r="I39" i="24"/>
  <c r="AH37" i="26"/>
  <c r="AA10" i="34"/>
  <c r="AA10" i="5"/>
  <c r="G30" i="34"/>
  <c r="G28" i="5"/>
  <c r="K30" i="34"/>
  <c r="K28" i="5"/>
  <c r="O30" i="34"/>
  <c r="O28" i="5"/>
  <c r="S30" i="34"/>
  <c r="S28" i="5"/>
  <c r="W30" i="34"/>
  <c r="W28" i="5"/>
  <c r="AA30" i="34"/>
  <c r="AA28" i="5"/>
  <c r="Q29" i="34"/>
  <c r="Q27" i="5"/>
  <c r="V10" i="34"/>
  <c r="V10" i="5"/>
  <c r="M29" i="34"/>
  <c r="M27" i="5"/>
  <c r="Z28" i="34"/>
  <c r="Z26" i="5"/>
  <c r="R28" i="34"/>
  <c r="R26" i="5"/>
  <c r="O39" i="24"/>
  <c r="S29" i="34"/>
  <c r="S27" i="5"/>
  <c r="AH43" i="20"/>
  <c r="S25" i="34"/>
  <c r="S23" i="5"/>
  <c r="AH37" i="21"/>
  <c r="X10" i="34"/>
  <c r="X10" i="5"/>
  <c r="P29" i="34"/>
  <c r="P27" i="5"/>
  <c r="W28" i="34"/>
  <c r="W26" i="5"/>
  <c r="O28" i="34"/>
  <c r="O26" i="5"/>
  <c r="AE52" i="20"/>
  <c r="AH44" i="20"/>
  <c r="AH45" i="21"/>
  <c r="W50" i="21"/>
  <c r="J50" i="21"/>
  <c r="Q50" i="21"/>
  <c r="AF50" i="21"/>
  <c r="O50" i="21"/>
  <c r="AH41" i="21"/>
  <c r="I50" i="21"/>
  <c r="X48" i="22"/>
  <c r="AH44" i="23"/>
  <c r="R52" i="23"/>
  <c r="T52" i="23"/>
  <c r="AA52" i="23"/>
  <c r="P52" i="23"/>
  <c r="N52" i="23"/>
  <c r="K52" i="23"/>
  <c r="W49" i="28"/>
  <c r="Q13" i="5" s="1"/>
  <c r="AE49" i="28"/>
  <c r="Y13" i="34" s="1"/>
  <c r="I29" i="21"/>
  <c r="J39" i="24"/>
  <c r="AH29" i="24"/>
  <c r="AI33" i="25"/>
  <c r="Y12" i="5"/>
  <c r="N39" i="26"/>
  <c r="P12" i="5"/>
  <c r="AH33" i="23"/>
  <c r="AH36" i="24"/>
  <c r="AB10" i="34"/>
  <c r="AB10" i="5"/>
  <c r="AH42" i="26"/>
  <c r="I52" i="26"/>
  <c r="M52" i="26"/>
  <c r="Q52" i="26"/>
  <c r="U52" i="26"/>
  <c r="Y52" i="26"/>
  <c r="AC52" i="26"/>
  <c r="AG52" i="26"/>
  <c r="L29" i="34"/>
  <c r="L27" i="5"/>
  <c r="J29" i="34"/>
  <c r="J27" i="5"/>
  <c r="X28" i="34"/>
  <c r="X26" i="5"/>
  <c r="P28" i="34"/>
  <c r="P26" i="5"/>
  <c r="N39" i="24"/>
  <c r="K39" i="24"/>
  <c r="AH30" i="24"/>
  <c r="AH34" i="24"/>
  <c r="AH43" i="26"/>
  <c r="I29" i="34"/>
  <c r="I27" i="5"/>
  <c r="V25" i="34"/>
  <c r="V23" i="5"/>
  <c r="E29" i="34"/>
  <c r="E27" i="5"/>
  <c r="U28" i="34"/>
  <c r="U26" i="5"/>
  <c r="AB52" i="20"/>
  <c r="AH42" i="20"/>
  <c r="AF52" i="20"/>
  <c r="AH43" i="23"/>
  <c r="AH43" i="21"/>
  <c r="X50" i="21"/>
  <c r="N50" i="21"/>
  <c r="AG50" i="21"/>
  <c r="U50" i="21"/>
  <c r="AD50" i="21"/>
  <c r="Y50" i="21"/>
  <c r="AG48" i="22"/>
  <c r="Y48" i="22"/>
  <c r="W52" i="23"/>
  <c r="L52" i="23"/>
  <c r="V52" i="23"/>
  <c r="AG52" i="23"/>
  <c r="AE52" i="23"/>
  <c r="U52" i="23"/>
  <c r="AH44" i="21"/>
  <c r="D47" i="34"/>
  <c r="D45" i="5"/>
  <c r="M29" i="23"/>
  <c r="J29" i="23"/>
  <c r="J39" i="23" s="1"/>
  <c r="N29" i="23"/>
  <c r="O29" i="23"/>
  <c r="S29" i="23"/>
  <c r="W29" i="23"/>
  <c r="AA29" i="23"/>
  <c r="AE29" i="23"/>
  <c r="P29" i="23"/>
  <c r="T29" i="23"/>
  <c r="X29" i="23"/>
  <c r="AB29" i="23"/>
  <c r="AF29" i="23"/>
  <c r="I29" i="23"/>
  <c r="K29" i="23"/>
  <c r="Q29" i="23"/>
  <c r="U29" i="23"/>
  <c r="Y29" i="23"/>
  <c r="Y39" i="23" s="1"/>
  <c r="AC29" i="23"/>
  <c r="AG29" i="23"/>
  <c r="R29" i="23"/>
  <c r="V29" i="23"/>
  <c r="Z29" i="23"/>
  <c r="AD29" i="23"/>
  <c r="L29" i="23"/>
  <c r="AH34" i="23"/>
  <c r="R12" i="34"/>
  <c r="U12" i="34"/>
  <c r="U12" i="5"/>
  <c r="AB12" i="5"/>
  <c r="L12" i="34"/>
  <c r="L12" i="5"/>
  <c r="AH32" i="24"/>
  <c r="AH30" i="23"/>
  <c r="AH30" i="26"/>
  <c r="E30" i="34"/>
  <c r="E28" i="5"/>
  <c r="I30" i="34"/>
  <c r="I28" i="5"/>
  <c r="M30" i="34"/>
  <c r="M28" i="5"/>
  <c r="Q30" i="34"/>
  <c r="Q28" i="5"/>
  <c r="U30" i="34"/>
  <c r="U28" i="5"/>
  <c r="Y30" i="34"/>
  <c r="Y28" i="5"/>
  <c r="O10" i="5"/>
  <c r="AB29" i="34"/>
  <c r="AB27" i="5"/>
  <c r="H29" i="34"/>
  <c r="H27" i="5"/>
  <c r="V28" i="34"/>
  <c r="V26" i="5"/>
  <c r="AH38" i="24"/>
  <c r="X29" i="34"/>
  <c r="X27" i="5"/>
  <c r="F29" i="34"/>
  <c r="F27" i="5"/>
  <c r="U25" i="34"/>
  <c r="U23" i="5"/>
  <c r="V52" i="20"/>
  <c r="AH45" i="20"/>
  <c r="AH44" i="26"/>
  <c r="AA28" i="34"/>
  <c r="AA26" i="5"/>
  <c r="S28" i="34"/>
  <c r="S26" i="5"/>
  <c r="AC52" i="20"/>
  <c r="AB25" i="34"/>
  <c r="AB23" i="5"/>
  <c r="AH46" i="23"/>
  <c r="M50" i="21"/>
  <c r="L50" i="21"/>
  <c r="S50" i="21"/>
  <c r="K50" i="21"/>
  <c r="AE50" i="21"/>
  <c r="R50" i="21"/>
  <c r="K48" i="22"/>
  <c r="AH43" i="22"/>
  <c r="Q48" i="22"/>
  <c r="AH40" i="22"/>
  <c r="Z52" i="23"/>
  <c r="I52" i="23"/>
  <c r="AH42" i="23"/>
  <c r="Y52" i="23"/>
  <c r="S52" i="23"/>
  <c r="AD52" i="23"/>
  <c r="AC52" i="23"/>
  <c r="D47" i="5"/>
  <c r="C9" i="36" s="1"/>
  <c r="M49" i="28"/>
  <c r="G13" i="34" s="1"/>
  <c r="Q49" i="28"/>
  <c r="K13" i="34" s="1"/>
  <c r="U49" i="28"/>
  <c r="O13" i="5" s="1"/>
  <c r="Y49" i="28"/>
  <c r="S13" i="34" s="1"/>
  <c r="AC49" i="28"/>
  <c r="W13" i="5" s="1"/>
  <c r="AG49" i="28"/>
  <c r="AA13" i="34" s="1"/>
  <c r="AF49" i="28"/>
  <c r="Z13" i="34" s="1"/>
  <c r="K67" i="28"/>
  <c r="E29" i="5" s="1"/>
  <c r="O67" i="28"/>
  <c r="I29" i="5" s="1"/>
  <c r="S67" i="28"/>
  <c r="M31" i="34" s="1"/>
  <c r="W67" i="28"/>
  <c r="Q31" i="34" s="1"/>
  <c r="AA67" i="28"/>
  <c r="U29" i="5" s="1"/>
  <c r="AE67" i="28"/>
  <c r="Y29" i="5" s="1"/>
  <c r="AI36" i="28"/>
  <c r="AI43" i="28"/>
  <c r="M67" i="28"/>
  <c r="G29" i="5" s="1"/>
  <c r="Q67" i="28"/>
  <c r="K31" i="34" s="1"/>
  <c r="U67" i="28"/>
  <c r="O29" i="5" s="1"/>
  <c r="Y67" i="28"/>
  <c r="S31" i="34" s="1"/>
  <c r="AC67" i="28"/>
  <c r="W29" i="5" s="1"/>
  <c r="AG67" i="28"/>
  <c r="AA29" i="5" s="1"/>
  <c r="J13" i="34"/>
  <c r="U13" i="34"/>
  <c r="J49" i="28"/>
  <c r="AI34" i="28"/>
  <c r="J67" i="28"/>
  <c r="AI52" i="28"/>
  <c r="P31" i="34"/>
  <c r="P29" i="5"/>
  <c r="T31" i="34"/>
  <c r="AI53" i="28"/>
  <c r="AI54" i="28"/>
  <c r="AI55" i="28"/>
  <c r="AI61" i="28"/>
  <c r="F31" i="34"/>
  <c r="F29" i="5"/>
  <c r="N29" i="5"/>
  <c r="N31" i="34"/>
  <c r="R29" i="5"/>
  <c r="V29" i="5"/>
  <c r="V31" i="34"/>
  <c r="Z31" i="34"/>
  <c r="AI35" i="28"/>
  <c r="AI37" i="28"/>
  <c r="K12" i="5" l="1"/>
  <c r="F11" i="36"/>
  <c r="X29" i="5"/>
  <c r="F12" i="5"/>
  <c r="Y20" i="24"/>
  <c r="AA20" i="24"/>
  <c r="AA12" i="5"/>
  <c r="H10" i="34"/>
  <c r="Z12" i="34"/>
  <c r="Q12" i="34"/>
  <c r="Z39" i="23"/>
  <c r="U9" i="34" s="1"/>
  <c r="N39" i="23"/>
  <c r="I9" i="5" s="1"/>
  <c r="U39" i="23"/>
  <c r="P9" i="34" s="1"/>
  <c r="AF39" i="23"/>
  <c r="AA9" i="34" s="1"/>
  <c r="M39" i="23"/>
  <c r="H9" i="34" s="1"/>
  <c r="J12" i="5"/>
  <c r="N10" i="5"/>
  <c r="AH31" i="21"/>
  <c r="AB26" i="28"/>
  <c r="F8" i="36" s="1"/>
  <c r="G10" i="34"/>
  <c r="X39" i="23"/>
  <c r="S9" i="5" s="1"/>
  <c r="L39" i="23"/>
  <c r="G9" i="34" s="1"/>
  <c r="S39" i="23"/>
  <c r="N9" i="5" s="1"/>
  <c r="Y10" i="5"/>
  <c r="O12" i="5"/>
  <c r="R10" i="5"/>
  <c r="L10" i="5"/>
  <c r="AD39" i="23"/>
  <c r="Y9" i="34" s="1"/>
  <c r="X12" i="34"/>
  <c r="W12" i="5"/>
  <c r="Q24" i="34"/>
  <c r="V24" i="34"/>
  <c r="H29" i="5"/>
  <c r="AB29" i="5"/>
  <c r="J29" i="5"/>
  <c r="H13" i="5"/>
  <c r="R13" i="34"/>
  <c r="L29" i="5"/>
  <c r="AB13" i="5"/>
  <c r="M29" i="5"/>
  <c r="P13" i="34"/>
  <c r="AA39" i="23"/>
  <c r="V9" i="34" s="1"/>
  <c r="V39" i="23"/>
  <c r="Q9" i="34" s="1"/>
  <c r="O39" i="23"/>
  <c r="J9" i="34" s="1"/>
  <c r="O37" i="22"/>
  <c r="J6" i="5" s="1"/>
  <c r="AH30" i="21"/>
  <c r="K37" i="22"/>
  <c r="F6" i="34" s="1"/>
  <c r="J37" i="22"/>
  <c r="E6" i="34" s="1"/>
  <c r="K7" i="34"/>
  <c r="AA21" i="23"/>
  <c r="AH36" i="21"/>
  <c r="AA7" i="5"/>
  <c r="G7" i="34"/>
  <c r="H7" i="5"/>
  <c r="R25" i="34"/>
  <c r="M7" i="5"/>
  <c r="E7" i="5"/>
  <c r="AA22" i="5"/>
  <c r="U24" i="34"/>
  <c r="H22" i="5"/>
  <c r="G24" i="34"/>
  <c r="W37" i="22"/>
  <c r="R6" i="5" s="1"/>
  <c r="Y24" i="34"/>
  <c r="AH34" i="22"/>
  <c r="M37" i="22"/>
  <c r="H6" i="34" s="1"/>
  <c r="X24" i="34"/>
  <c r="M22" i="5"/>
  <c r="AH32" i="21"/>
  <c r="AH33" i="22"/>
  <c r="AA21" i="22"/>
  <c r="Y21" i="22"/>
  <c r="L37" i="22"/>
  <c r="G6" i="34" s="1"/>
  <c r="AH30" i="22"/>
  <c r="AH32" i="22"/>
  <c r="Z21" i="22"/>
  <c r="X37" i="22"/>
  <c r="S6" i="34" s="1"/>
  <c r="V37" i="22"/>
  <c r="Q6" i="5" s="1"/>
  <c r="S37" i="22"/>
  <c r="N6" i="34" s="1"/>
  <c r="AD37" i="22"/>
  <c r="Y6" i="34" s="1"/>
  <c r="AH48" i="22"/>
  <c r="AH29" i="22"/>
  <c r="R37" i="22"/>
  <c r="M6" i="34" s="1"/>
  <c r="AE37" i="22"/>
  <c r="Z6" i="34" s="1"/>
  <c r="AF37" i="22"/>
  <c r="AA6" i="5" s="1"/>
  <c r="AB37" i="22"/>
  <c r="W6" i="5" s="1"/>
  <c r="Q37" i="22"/>
  <c r="L6" i="34" s="1"/>
  <c r="W22" i="5"/>
  <c r="J24" i="34"/>
  <c r="V12" i="34"/>
  <c r="O7" i="34"/>
  <c r="M12" i="5"/>
  <c r="R39" i="23"/>
  <c r="M9" i="34" s="1"/>
  <c r="I7" i="34"/>
  <c r="Z21" i="23"/>
  <c r="Y21" i="23"/>
  <c r="Z21" i="25"/>
  <c r="F24" i="33" s="1"/>
  <c r="N24" i="34"/>
  <c r="P24" i="34"/>
  <c r="I24" i="34"/>
  <c r="E6" i="5"/>
  <c r="AG37" i="22"/>
  <c r="AB6" i="5" s="1"/>
  <c r="N37" i="22"/>
  <c r="I6" i="34" s="1"/>
  <c r="T37" i="22"/>
  <c r="O6" i="34" s="1"/>
  <c r="Z37" i="22"/>
  <c r="U6" i="34" s="1"/>
  <c r="AA37" i="22"/>
  <c r="V6" i="5" s="1"/>
  <c r="K22" i="5"/>
  <c r="I37" i="22"/>
  <c r="D6" i="34" s="1"/>
  <c r="AC37" i="22"/>
  <c r="X6" i="5" s="1"/>
  <c r="P37" i="22"/>
  <c r="K6" i="34" s="1"/>
  <c r="Y37" i="22"/>
  <c r="T6" i="34" s="1"/>
  <c r="U37" i="22"/>
  <c r="P6" i="5" s="1"/>
  <c r="D22" i="5"/>
  <c r="D24" i="34"/>
  <c r="AB21" i="21"/>
  <c r="T13" i="34"/>
  <c r="AA26" i="28"/>
  <c r="T39" i="23"/>
  <c r="O9" i="34" s="1"/>
  <c r="Q39" i="23"/>
  <c r="L9" i="5" s="1"/>
  <c r="AE39" i="23"/>
  <c r="Z9" i="5" s="1"/>
  <c r="H12" i="34"/>
  <c r="I13" i="5"/>
  <c r="K29" i="5"/>
  <c r="I31" i="34"/>
  <c r="X13" i="5"/>
  <c r="M13" i="5"/>
  <c r="N13" i="34"/>
  <c r="F13" i="34"/>
  <c r="L13" i="5"/>
  <c r="Y13" i="5"/>
  <c r="Q13" i="34"/>
  <c r="AB21" i="25"/>
  <c r="AA21" i="25"/>
  <c r="AH32" i="23"/>
  <c r="L6" i="5"/>
  <c r="M10" i="5"/>
  <c r="G12" i="5"/>
  <c r="S12" i="5"/>
  <c r="V13" i="5"/>
  <c r="AG39" i="23"/>
  <c r="AB9" i="34" s="1"/>
  <c r="AB39" i="23"/>
  <c r="W9" i="34" s="1"/>
  <c r="W7" i="5"/>
  <c r="G11" i="34"/>
  <c r="AA21" i="26"/>
  <c r="AA21" i="21"/>
  <c r="Z21" i="21"/>
  <c r="R6" i="34"/>
  <c r="E13" i="5"/>
  <c r="AC39" i="23"/>
  <c r="X9" i="5" s="1"/>
  <c r="K39" i="23"/>
  <c r="F9" i="5" s="1"/>
  <c r="T12" i="5"/>
  <c r="U10" i="34"/>
  <c r="W39" i="23"/>
  <c r="R9" i="34" s="1"/>
  <c r="Z10" i="5"/>
  <c r="P39" i="23"/>
  <c r="K9" i="34" s="1"/>
  <c r="AH31" i="22"/>
  <c r="X7" i="34"/>
  <c r="X7" i="5"/>
  <c r="L7" i="34"/>
  <c r="L7" i="5"/>
  <c r="J7" i="34"/>
  <c r="J7" i="5"/>
  <c r="N7" i="34"/>
  <c r="N7" i="5"/>
  <c r="U7" i="34"/>
  <c r="U7" i="5"/>
  <c r="V7" i="34"/>
  <c r="V7" i="5"/>
  <c r="Y7" i="34"/>
  <c r="Y7" i="5"/>
  <c r="F7" i="34"/>
  <c r="F7" i="5"/>
  <c r="S7" i="5"/>
  <c r="S7" i="34"/>
  <c r="Q7" i="34"/>
  <c r="Q7" i="5"/>
  <c r="T7" i="34"/>
  <c r="T7" i="5"/>
  <c r="AB7" i="34"/>
  <c r="AB7" i="5"/>
  <c r="R7" i="34"/>
  <c r="R7" i="5"/>
  <c r="P7" i="34"/>
  <c r="P7" i="5"/>
  <c r="Z7" i="34"/>
  <c r="Z7" i="5"/>
  <c r="G61" i="5"/>
  <c r="AH31" i="20"/>
  <c r="Z21" i="26"/>
  <c r="G31" i="34"/>
  <c r="E31" i="34"/>
  <c r="Q29" i="5"/>
  <c r="H11" i="5"/>
  <c r="Q11" i="5"/>
  <c r="F11" i="34"/>
  <c r="P11" i="34"/>
  <c r="P11" i="5"/>
  <c r="O11" i="34"/>
  <c r="O11" i="5"/>
  <c r="J11" i="5"/>
  <c r="J11" i="34"/>
  <c r="L11" i="5"/>
  <c r="L11" i="34"/>
  <c r="AI29" i="25"/>
  <c r="AI39" i="25" s="1"/>
  <c r="R11" i="5"/>
  <c r="R11" i="34"/>
  <c r="N11" i="5"/>
  <c r="N11" i="34"/>
  <c r="I11" i="34"/>
  <c r="I11" i="5"/>
  <c r="K11" i="5"/>
  <c r="K11" i="34"/>
  <c r="K13" i="5"/>
  <c r="AA13" i="5"/>
  <c r="X25" i="5"/>
  <c r="X27" i="34"/>
  <c r="AH52" i="23"/>
  <c r="L24" i="34"/>
  <c r="L22" i="5"/>
  <c r="N24" i="5"/>
  <c r="N26" i="34"/>
  <c r="G9" i="5"/>
  <c r="K9" i="5"/>
  <c r="N9" i="34"/>
  <c r="Q27" i="34"/>
  <c r="Q25" i="5"/>
  <c r="AB24" i="34"/>
  <c r="AB22" i="5"/>
  <c r="AB26" i="34"/>
  <c r="AB24" i="5"/>
  <c r="X30" i="34"/>
  <c r="X28" i="5"/>
  <c r="H30" i="34"/>
  <c r="H28" i="5"/>
  <c r="I38" i="21"/>
  <c r="AH29" i="21"/>
  <c r="K25" i="5"/>
  <c r="K27" i="34"/>
  <c r="D26" i="34"/>
  <c r="D24" i="5"/>
  <c r="L24" i="5"/>
  <c r="L26" i="34"/>
  <c r="J10" i="34"/>
  <c r="J10" i="5"/>
  <c r="D10" i="34"/>
  <c r="D10" i="5"/>
  <c r="W27" i="34"/>
  <c r="W25" i="5"/>
  <c r="R22" i="5"/>
  <c r="R24" i="34"/>
  <c r="O24" i="5"/>
  <c r="O26" i="34"/>
  <c r="X24" i="5"/>
  <c r="X26" i="34"/>
  <c r="AC29" i="34"/>
  <c r="R30" i="34"/>
  <c r="R28" i="5"/>
  <c r="AD38" i="21"/>
  <c r="AA38" i="21"/>
  <c r="O38" i="21"/>
  <c r="T38" i="21"/>
  <c r="Y38" i="21"/>
  <c r="M38" i="21"/>
  <c r="Y27" i="34"/>
  <c r="Y25" i="5"/>
  <c r="D27" i="34"/>
  <c r="D25" i="5"/>
  <c r="M24" i="5"/>
  <c r="M26" i="34"/>
  <c r="G24" i="5"/>
  <c r="G26" i="34"/>
  <c r="G16" i="4"/>
  <c r="I16" i="4"/>
  <c r="J16" i="4" s="1"/>
  <c r="Z9" i="34"/>
  <c r="P27" i="34"/>
  <c r="P25" i="5"/>
  <c r="G27" i="34"/>
  <c r="G25" i="5"/>
  <c r="T24" i="5"/>
  <c r="T26" i="34"/>
  <c r="I26" i="34"/>
  <c r="I24" i="5"/>
  <c r="AA25" i="34"/>
  <c r="AA23" i="5"/>
  <c r="F10" i="34"/>
  <c r="F10" i="5"/>
  <c r="T30" i="34"/>
  <c r="T28" i="5"/>
  <c r="D30" i="34"/>
  <c r="D28" i="5"/>
  <c r="D48" i="34"/>
  <c r="D46" i="5"/>
  <c r="V25" i="5"/>
  <c r="V27" i="34"/>
  <c r="S22" i="5"/>
  <c r="S24" i="34"/>
  <c r="AH50" i="21"/>
  <c r="E26" i="34"/>
  <c r="E24" i="5"/>
  <c r="Z25" i="34"/>
  <c r="Z23" i="5"/>
  <c r="AH39" i="26"/>
  <c r="S27" i="34"/>
  <c r="S25" i="5"/>
  <c r="L27" i="34"/>
  <c r="L25" i="5"/>
  <c r="U24" i="5"/>
  <c r="U26" i="34"/>
  <c r="Q24" i="5"/>
  <c r="Q26" i="34"/>
  <c r="N30" i="34"/>
  <c r="N28" i="5"/>
  <c r="Z38" i="21"/>
  <c r="W38" i="21"/>
  <c r="AF38" i="21"/>
  <c r="K38" i="21"/>
  <c r="U38" i="21"/>
  <c r="R38" i="21"/>
  <c r="N25" i="5"/>
  <c r="N27" i="34"/>
  <c r="U25" i="5"/>
  <c r="U27" i="34"/>
  <c r="F24" i="34"/>
  <c r="F22" i="5"/>
  <c r="Z26" i="34"/>
  <c r="Z24" i="5"/>
  <c r="H26" i="34"/>
  <c r="H24" i="5"/>
  <c r="X25" i="34"/>
  <c r="X23" i="5"/>
  <c r="S9" i="34"/>
  <c r="V9" i="5"/>
  <c r="Z25" i="5"/>
  <c r="Z27" i="34"/>
  <c r="R27" i="34"/>
  <c r="R25" i="5"/>
  <c r="Y26" i="34"/>
  <c r="Y24" i="5"/>
  <c r="S26" i="34"/>
  <c r="S24" i="5"/>
  <c r="AH52" i="20"/>
  <c r="I10" i="34"/>
  <c r="I10" i="5"/>
  <c r="P30" i="34"/>
  <c r="P28" i="5"/>
  <c r="AH52" i="26"/>
  <c r="D11" i="5"/>
  <c r="D11" i="34"/>
  <c r="AH39" i="24"/>
  <c r="F27" i="34"/>
  <c r="F25" i="5"/>
  <c r="O25" i="5"/>
  <c r="O27" i="34"/>
  <c r="J26" i="34"/>
  <c r="J24" i="5"/>
  <c r="R24" i="5"/>
  <c r="R26" i="34"/>
  <c r="AC26" i="5"/>
  <c r="D12" i="34"/>
  <c r="D12" i="5"/>
  <c r="E25" i="5"/>
  <c r="E27" i="34"/>
  <c r="AA27" i="34"/>
  <c r="AA25" i="5"/>
  <c r="E22" i="5"/>
  <c r="E24" i="34"/>
  <c r="K24" i="5"/>
  <c r="K26" i="34"/>
  <c r="Y25" i="34"/>
  <c r="Y23" i="5"/>
  <c r="K10" i="34"/>
  <c r="K10" i="5"/>
  <c r="Z30" i="34"/>
  <c r="Z28" i="5"/>
  <c r="J30" i="34"/>
  <c r="J28" i="5"/>
  <c r="V38" i="21"/>
  <c r="S38" i="21"/>
  <c r="AB38" i="21"/>
  <c r="AG38" i="21"/>
  <c r="P38" i="21"/>
  <c r="N38" i="21"/>
  <c r="AH39" i="20"/>
  <c r="T25" i="5"/>
  <c r="T27" i="34"/>
  <c r="F24" i="5"/>
  <c r="F26" i="34"/>
  <c r="Q25" i="34"/>
  <c r="Q23" i="5"/>
  <c r="Q9" i="5"/>
  <c r="T9" i="34"/>
  <c r="T9" i="5"/>
  <c r="I39" i="23"/>
  <c r="AH29" i="23"/>
  <c r="E9" i="34"/>
  <c r="E9" i="5"/>
  <c r="AB25" i="5"/>
  <c r="AB27" i="34"/>
  <c r="T24" i="34"/>
  <c r="T22" i="5"/>
  <c r="P26" i="34"/>
  <c r="P24" i="5"/>
  <c r="W25" i="34"/>
  <c r="W23" i="5"/>
  <c r="AB30" i="34"/>
  <c r="AB28" i="5"/>
  <c r="L30" i="34"/>
  <c r="L28" i="5"/>
  <c r="I12" i="34"/>
  <c r="I12" i="5"/>
  <c r="E10" i="34"/>
  <c r="E10" i="5"/>
  <c r="I25" i="5"/>
  <c r="I27" i="34"/>
  <c r="M27" i="34"/>
  <c r="M25" i="5"/>
  <c r="AA26" i="34"/>
  <c r="AA24" i="5"/>
  <c r="AC28" i="34"/>
  <c r="AH33" i="21"/>
  <c r="E11" i="5"/>
  <c r="E11" i="34"/>
  <c r="H25" i="5"/>
  <c r="H27" i="34"/>
  <c r="J25" i="5"/>
  <c r="J27" i="34"/>
  <c r="V26" i="34"/>
  <c r="V24" i="5"/>
  <c r="W26" i="34"/>
  <c r="W24" i="5"/>
  <c r="AC27" i="5"/>
  <c r="Q10" i="34"/>
  <c r="Q10" i="5"/>
  <c r="V30" i="34"/>
  <c r="V28" i="5"/>
  <c r="F30" i="34"/>
  <c r="F28" i="5"/>
  <c r="E12" i="5"/>
  <c r="E12" i="34"/>
  <c r="AE38" i="21"/>
  <c r="Q38" i="21"/>
  <c r="X38" i="21"/>
  <c r="AC38" i="21"/>
  <c r="L38" i="21"/>
  <c r="J38" i="21"/>
  <c r="D7" i="34"/>
  <c r="D7" i="5"/>
  <c r="Y31" i="34"/>
  <c r="G13" i="5"/>
  <c r="AA31" i="34"/>
  <c r="W13" i="34"/>
  <c r="S13" i="5"/>
  <c r="S29" i="5"/>
  <c r="U31" i="34"/>
  <c r="Z13" i="5"/>
  <c r="O13" i="34"/>
  <c r="W31" i="34"/>
  <c r="O31" i="34"/>
  <c r="D31" i="34"/>
  <c r="D29" i="5"/>
  <c r="AI67" i="28"/>
  <c r="AI49" i="28"/>
  <c r="D13" i="34"/>
  <c r="D13" i="5"/>
  <c r="F8" i="35" l="1"/>
  <c r="G8" i="35" s="1"/>
  <c r="L9" i="34"/>
  <c r="D49" i="5"/>
  <c r="C11" i="36" s="1"/>
  <c r="C8" i="36"/>
  <c r="D51" i="34"/>
  <c r="C11" i="35" s="1"/>
  <c r="C8" i="35"/>
  <c r="P30" i="5"/>
  <c r="I9" i="34"/>
  <c r="D53" i="34"/>
  <c r="C13" i="35" s="1"/>
  <c r="B17" i="35" s="1"/>
  <c r="E11" i="35" s="1"/>
  <c r="U9" i="5"/>
  <c r="H9" i="5"/>
  <c r="F6" i="5"/>
  <c r="AB9" i="5"/>
  <c r="AA9" i="5"/>
  <c r="F21" i="33"/>
  <c r="P9" i="5"/>
  <c r="O32" i="34"/>
  <c r="J6" i="34"/>
  <c r="M9" i="5"/>
  <c r="F9" i="34"/>
  <c r="R9" i="5"/>
  <c r="J9" i="5"/>
  <c r="Y9" i="5"/>
  <c r="AH39" i="23"/>
  <c r="S32" i="34"/>
  <c r="F19" i="33"/>
  <c r="F23" i="33"/>
  <c r="H6" i="5"/>
  <c r="S6" i="5"/>
  <c r="G30" i="5"/>
  <c r="Y6" i="5"/>
  <c r="W6" i="34"/>
  <c r="G6" i="5"/>
  <c r="N6" i="5"/>
  <c r="M6" i="5"/>
  <c r="Q6" i="34"/>
  <c r="AA6" i="34"/>
  <c r="AH37" i="22"/>
  <c r="N32" i="34"/>
  <c r="Z6" i="5"/>
  <c r="W9" i="5"/>
  <c r="K6" i="5"/>
  <c r="V6" i="34"/>
  <c r="I6" i="5"/>
  <c r="K30" i="5"/>
  <c r="X6" i="34"/>
  <c r="U6" i="5"/>
  <c r="P6" i="34"/>
  <c r="D6" i="5"/>
  <c r="AB6" i="34"/>
  <c r="O6" i="5"/>
  <c r="T6" i="5"/>
  <c r="AC22" i="5"/>
  <c r="R30" i="5"/>
  <c r="Q32" i="34"/>
  <c r="S30" i="5"/>
  <c r="Q30" i="5"/>
  <c r="T32" i="34"/>
  <c r="X30" i="5"/>
  <c r="Y30" i="5"/>
  <c r="U30" i="5"/>
  <c r="G32" i="34"/>
  <c r="W30" i="5"/>
  <c r="O9" i="5"/>
  <c r="X9" i="34"/>
  <c r="E64" i="34"/>
  <c r="E69" i="34" s="1"/>
  <c r="U32" i="34"/>
  <c r="Y32" i="34"/>
  <c r="K32" i="34"/>
  <c r="H30" i="5"/>
  <c r="I32" i="34"/>
  <c r="M30" i="5"/>
  <c r="R32" i="34"/>
  <c r="H32" i="34"/>
  <c r="AA30" i="5"/>
  <c r="T30" i="5"/>
  <c r="I30" i="5"/>
  <c r="M32" i="34"/>
  <c r="O30" i="5"/>
  <c r="X32" i="34"/>
  <c r="P32" i="34"/>
  <c r="N30" i="5"/>
  <c r="V32" i="34"/>
  <c r="J32" i="34"/>
  <c r="F30" i="5"/>
  <c r="L30" i="5"/>
  <c r="F32" i="34"/>
  <c r="Z30" i="5"/>
  <c r="L32" i="34"/>
  <c r="AB30" i="5"/>
  <c r="V30" i="5"/>
  <c r="Z32" i="34"/>
  <c r="AB32" i="34"/>
  <c r="J30" i="5"/>
  <c r="X8" i="34"/>
  <c r="X8" i="5"/>
  <c r="X14" i="5" s="1"/>
  <c r="E8" i="34"/>
  <c r="E14" i="34" s="1"/>
  <c r="E18" i="34" s="1"/>
  <c r="E8" i="5"/>
  <c r="E14" i="5" s="1"/>
  <c r="L8" i="34"/>
  <c r="L14" i="34" s="1"/>
  <c r="L18" i="34" s="1"/>
  <c r="L8" i="5"/>
  <c r="L14" i="5" s="1"/>
  <c r="G8" i="34"/>
  <c r="G14" i="34" s="1"/>
  <c r="G18" i="34" s="1"/>
  <c r="G8" i="5"/>
  <c r="Z8" i="34"/>
  <c r="Z14" i="34" s="1"/>
  <c r="Z18" i="34" s="1"/>
  <c r="Z8" i="5"/>
  <c r="AB8" i="34"/>
  <c r="AB8" i="5"/>
  <c r="AC11" i="34"/>
  <c r="AD11" i="34"/>
  <c r="AA8" i="34"/>
  <c r="AA8" i="5"/>
  <c r="AA14" i="5" s="1"/>
  <c r="AC30" i="34"/>
  <c r="H8" i="34"/>
  <c r="H14" i="34" s="1"/>
  <c r="H18" i="34" s="1"/>
  <c r="H8" i="5"/>
  <c r="V8" i="34"/>
  <c r="V8" i="5"/>
  <c r="V14" i="5" s="1"/>
  <c r="AD10" i="34"/>
  <c r="AC10" i="34"/>
  <c r="AD11" i="5"/>
  <c r="AC11" i="5"/>
  <c r="M8" i="34"/>
  <c r="M14" i="34" s="1"/>
  <c r="M18" i="34" s="1"/>
  <c r="M8" i="5"/>
  <c r="R8" i="34"/>
  <c r="R14" i="34" s="1"/>
  <c r="R18" i="34" s="1"/>
  <c r="R8" i="5"/>
  <c r="AC25" i="5"/>
  <c r="T8" i="34"/>
  <c r="T14" i="34" s="1"/>
  <c r="T18" i="34" s="1"/>
  <c r="T8" i="5"/>
  <c r="Y8" i="34"/>
  <c r="Y14" i="34" s="1"/>
  <c r="Y18" i="34" s="1"/>
  <c r="Y8" i="5"/>
  <c r="AC24" i="5"/>
  <c r="AH38" i="21"/>
  <c r="AD7" i="5"/>
  <c r="AC7" i="5"/>
  <c r="D9" i="34"/>
  <c r="D9" i="5"/>
  <c r="W8" i="34"/>
  <c r="W8" i="5"/>
  <c r="W14" i="5" s="1"/>
  <c r="W32" i="34"/>
  <c r="AA32" i="34"/>
  <c r="AC7" i="34"/>
  <c r="AD7" i="34"/>
  <c r="S8" i="34"/>
  <c r="S14" i="34" s="1"/>
  <c r="S18" i="34" s="1"/>
  <c r="S8" i="5"/>
  <c r="AC23" i="5"/>
  <c r="I8" i="34"/>
  <c r="I14" i="34" s="1"/>
  <c r="I18" i="34" s="1"/>
  <c r="I8" i="5"/>
  <c r="N8" i="34"/>
  <c r="N14" i="34" s="1"/>
  <c r="N18" i="34" s="1"/>
  <c r="N8" i="5"/>
  <c r="N14" i="5" s="1"/>
  <c r="AC24" i="34"/>
  <c r="AD12" i="5"/>
  <c r="AC12" i="5"/>
  <c r="E30" i="5"/>
  <c r="E32" i="34"/>
  <c r="P8" i="34"/>
  <c r="P8" i="5"/>
  <c r="U8" i="34"/>
  <c r="U14" i="34" s="1"/>
  <c r="U18" i="34" s="1"/>
  <c r="U8" i="5"/>
  <c r="AC27" i="34"/>
  <c r="O8" i="34"/>
  <c r="O14" i="34" s="1"/>
  <c r="O18" i="34" s="1"/>
  <c r="O8" i="5"/>
  <c r="AC26" i="34"/>
  <c r="D8" i="34"/>
  <c r="D14" i="34" s="1"/>
  <c r="D8" i="5"/>
  <c r="AC25" i="34"/>
  <c r="K8" i="34"/>
  <c r="K14" i="34" s="1"/>
  <c r="K18" i="34" s="1"/>
  <c r="K8" i="5"/>
  <c r="Q8" i="34"/>
  <c r="Q8" i="5"/>
  <c r="Q14" i="5" s="1"/>
  <c r="AD12" i="34"/>
  <c r="AC12" i="34"/>
  <c r="F8" i="34"/>
  <c r="F8" i="5"/>
  <c r="F14" i="5" s="1"/>
  <c r="AC28" i="5"/>
  <c r="J8" i="34"/>
  <c r="J14" i="34" s="1"/>
  <c r="J18" i="34" s="1"/>
  <c r="J8" i="5"/>
  <c r="J14" i="5" s="1"/>
  <c r="AD10" i="5"/>
  <c r="AC10" i="5"/>
  <c r="AD13" i="5"/>
  <c r="AC13" i="5"/>
  <c r="AD13" i="34"/>
  <c r="AC13" i="34"/>
  <c r="AC29" i="5"/>
  <c r="D30" i="5"/>
  <c r="AC31" i="34"/>
  <c r="D32" i="34"/>
  <c r="D51" i="5" l="1"/>
  <c r="C13" i="36" s="1"/>
  <c r="B17" i="36" s="1"/>
  <c r="E11" i="36" s="1"/>
  <c r="E53" i="34"/>
  <c r="P14" i="5"/>
  <c r="E29" i="4" s="1"/>
  <c r="F29" i="4" s="1"/>
  <c r="F5" i="35"/>
  <c r="G22" i="35"/>
  <c r="F22" i="35" s="1"/>
  <c r="AB14" i="5"/>
  <c r="Y14" i="5"/>
  <c r="E38" i="4" s="1"/>
  <c r="F38" i="4" s="1"/>
  <c r="R14" i="5"/>
  <c r="E31" i="4" s="1"/>
  <c r="F31" i="4" s="1"/>
  <c r="F14" i="34"/>
  <c r="F18" i="34" s="1"/>
  <c r="S14" i="5"/>
  <c r="E32" i="4" s="1"/>
  <c r="F32" i="4" s="1"/>
  <c r="G14" i="5"/>
  <c r="E20" i="4" s="1"/>
  <c r="F20" i="4" s="1"/>
  <c r="H14" i="5"/>
  <c r="E21" i="4" s="1"/>
  <c r="F21" i="4" s="1"/>
  <c r="E78" i="34"/>
  <c r="E78" i="5"/>
  <c r="D78" i="5" s="1"/>
  <c r="W14" i="34"/>
  <c r="W18" i="34" s="1"/>
  <c r="AA14" i="34"/>
  <c r="AA18" i="34" s="1"/>
  <c r="M14" i="5"/>
  <c r="E26" i="4" s="1"/>
  <c r="F26" i="4" s="1"/>
  <c r="D78" i="34"/>
  <c r="D72" i="34" s="1"/>
  <c r="O14" i="5"/>
  <c r="E28" i="4" s="1"/>
  <c r="F28" i="4" s="1"/>
  <c r="Q14" i="34"/>
  <c r="Q18" i="34" s="1"/>
  <c r="Z14" i="5"/>
  <c r="E39" i="4" s="1"/>
  <c r="F39" i="4" s="1"/>
  <c r="K14" i="5"/>
  <c r="E24" i="4" s="1"/>
  <c r="F24" i="4" s="1"/>
  <c r="I14" i="5"/>
  <c r="E22" i="4" s="1"/>
  <c r="F22" i="4" s="1"/>
  <c r="AC6" i="34"/>
  <c r="U14" i="5"/>
  <c r="E34" i="4" s="1"/>
  <c r="F34" i="4" s="1"/>
  <c r="V14" i="34"/>
  <c r="V18" i="34" s="1"/>
  <c r="AD6" i="34"/>
  <c r="X14" i="34"/>
  <c r="X18" i="34" s="1"/>
  <c r="P14" i="34"/>
  <c r="P18" i="34" s="1"/>
  <c r="AD6" i="5"/>
  <c r="AB14" i="34"/>
  <c r="AB18" i="34" s="1"/>
  <c r="AC6" i="5"/>
  <c r="T14" i="5"/>
  <c r="E33" i="4" s="1"/>
  <c r="F33" i="4" s="1"/>
  <c r="AC32" i="34"/>
  <c r="AC30" i="5"/>
  <c r="E23" i="4"/>
  <c r="F23" i="4" s="1"/>
  <c r="E36" i="4"/>
  <c r="F36" i="4" s="1"/>
  <c r="E37" i="4"/>
  <c r="F37" i="4" s="1"/>
  <c r="AD8" i="5"/>
  <c r="AC8" i="5"/>
  <c r="E27" i="4"/>
  <c r="F27" i="4" s="1"/>
  <c r="E18" i="4"/>
  <c r="F18" i="4" s="1"/>
  <c r="D14" i="5"/>
  <c r="E17" i="4" s="1"/>
  <c r="F17" i="4" s="1"/>
  <c r="AC8" i="34"/>
  <c r="AD8" i="34"/>
  <c r="AD9" i="5"/>
  <c r="AC9" i="5"/>
  <c r="E40" i="4"/>
  <c r="F40" i="4" s="1"/>
  <c r="E19" i="4"/>
  <c r="F19" i="4" s="1"/>
  <c r="E30" i="4"/>
  <c r="F30" i="4" s="1"/>
  <c r="AD9" i="34"/>
  <c r="AC9" i="34"/>
  <c r="E35" i="4"/>
  <c r="F35" i="4" s="1"/>
  <c r="E41" i="4"/>
  <c r="F41" i="4" s="1"/>
  <c r="E25" i="4"/>
  <c r="F25" i="4" s="1"/>
  <c r="D18" i="34"/>
  <c r="D15" i="34"/>
  <c r="E15" i="34" s="1"/>
  <c r="F15" i="34" s="1"/>
  <c r="G15" i="34" s="1"/>
  <c r="H15" i="34" s="1"/>
  <c r="I15" i="34" s="1"/>
  <c r="J15" i="34" s="1"/>
  <c r="K15" i="34" s="1"/>
  <c r="L15" i="34" s="1"/>
  <c r="M15" i="34" s="1"/>
  <c r="N15" i="34" s="1"/>
  <c r="O15" i="34" s="1"/>
  <c r="D60" i="5" l="1"/>
  <c r="D62" i="5" s="1"/>
  <c r="G60" i="5" s="1"/>
  <c r="G62" i="5" s="1"/>
  <c r="F11" i="35"/>
  <c r="G11" i="35" s="1"/>
  <c r="G5" i="35"/>
  <c r="P15" i="34"/>
  <c r="Q15" i="34" s="1"/>
  <c r="R15" i="34" s="1"/>
  <c r="S15" i="34" s="1"/>
  <c r="T15" i="34" s="1"/>
  <c r="U15" i="34" s="1"/>
  <c r="V15" i="34" s="1"/>
  <c r="W15" i="34" s="1"/>
  <c r="X15" i="34" s="1"/>
  <c r="Y15" i="34" s="1"/>
  <c r="Z15" i="34" s="1"/>
  <c r="AA15" i="34" s="1"/>
  <c r="AB15" i="34" s="1"/>
  <c r="D19" i="34"/>
  <c r="D54" i="34" s="1"/>
  <c r="C14" i="35" s="1"/>
  <c r="AC14" i="34"/>
  <c r="G72" i="34" s="1"/>
  <c r="D67" i="5"/>
  <c r="AC14" i="5"/>
  <c r="D15" i="5"/>
  <c r="E15" i="5" s="1"/>
  <c r="F15" i="5" s="1"/>
  <c r="G15" i="5" s="1"/>
  <c r="H15" i="5" s="1"/>
  <c r="I15" i="5" s="1"/>
  <c r="J15" i="5" s="1"/>
  <c r="K15" i="5" s="1"/>
  <c r="L15" i="5" s="1"/>
  <c r="M15" i="5" s="1"/>
  <c r="N15" i="5" s="1"/>
  <c r="O15" i="5" s="1"/>
  <c r="P15" i="5" s="1"/>
  <c r="Q15" i="5" s="1"/>
  <c r="R15" i="5" s="1"/>
  <c r="S15" i="5" s="1"/>
  <c r="T15" i="5" s="1"/>
  <c r="U15" i="5" s="1"/>
  <c r="V15" i="5" s="1"/>
  <c r="W15" i="5" s="1"/>
  <c r="X15" i="5" s="1"/>
  <c r="Y15" i="5" s="1"/>
  <c r="Z15" i="5" s="1"/>
  <c r="AA15" i="5" s="1"/>
  <c r="AB15" i="5" s="1"/>
  <c r="I25" i="4"/>
  <c r="I35" i="4"/>
  <c r="I30" i="4"/>
  <c r="I40" i="4"/>
  <c r="I18" i="4"/>
  <c r="I26" i="4"/>
  <c r="I20" i="4"/>
  <c r="I33" i="4"/>
  <c r="I32" i="4"/>
  <c r="I21" i="4"/>
  <c r="I23" i="4"/>
  <c r="I31" i="4"/>
  <c r="I22" i="4"/>
  <c r="I27" i="4"/>
  <c r="I24" i="4"/>
  <c r="I36" i="4"/>
  <c r="I41" i="4"/>
  <c r="I19" i="4"/>
  <c r="I38" i="4"/>
  <c r="I29" i="4"/>
  <c r="I28" i="4"/>
  <c r="I37" i="4"/>
  <c r="I34" i="4"/>
  <c r="I39" i="4"/>
  <c r="G17" i="4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I17" i="4"/>
  <c r="C27" i="35" l="1"/>
  <c r="D68" i="5"/>
  <c r="J17" i="4"/>
  <c r="K17" i="4" s="1"/>
  <c r="E8" i="4"/>
  <c r="O16" i="5" l="1"/>
  <c r="S16" i="5"/>
  <c r="Y16" i="5"/>
  <c r="R16" i="5"/>
  <c r="AB16" i="5"/>
  <c r="U16" i="5"/>
  <c r="P16" i="5"/>
  <c r="Q16" i="5"/>
  <c r="W16" i="5"/>
  <c r="X16" i="5"/>
  <c r="AA16" i="5"/>
  <c r="Z16" i="5"/>
  <c r="V16" i="5"/>
  <c r="T16" i="5"/>
  <c r="L16" i="5"/>
  <c r="F16" i="5"/>
  <c r="N16" i="5"/>
  <c r="E16" i="5"/>
  <c r="H16" i="5"/>
  <c r="M16" i="5"/>
  <c r="J16" i="5"/>
  <c r="G16" i="5"/>
  <c r="K16" i="5"/>
  <c r="I16" i="5"/>
  <c r="D16" i="5"/>
  <c r="D17" i="5" s="1"/>
  <c r="D18" i="5" s="1"/>
  <c r="G67" i="5"/>
  <c r="J18" i="4"/>
  <c r="AC16" i="5" l="1"/>
  <c r="D71" i="5"/>
  <c r="G68" i="5"/>
  <c r="E17" i="5"/>
  <c r="K18" i="4"/>
  <c r="J19" i="4"/>
  <c r="E18" i="5" l="1"/>
  <c r="F17" i="5"/>
  <c r="G72" i="5"/>
  <c r="C69" i="5"/>
  <c r="G70" i="5"/>
  <c r="G71" i="5" s="1"/>
  <c r="K19" i="4"/>
  <c r="J20" i="4"/>
  <c r="G17" i="5" l="1"/>
  <c r="F18" i="5"/>
  <c r="K20" i="4"/>
  <c r="J21" i="4"/>
  <c r="G18" i="5" l="1"/>
  <c r="H17" i="5"/>
  <c r="K21" i="4"/>
  <c r="J22" i="4"/>
  <c r="H18" i="5" l="1"/>
  <c r="I17" i="5"/>
  <c r="K22" i="4"/>
  <c r="J23" i="4"/>
  <c r="J17" i="5" l="1"/>
  <c r="I18" i="5"/>
  <c r="K23" i="4"/>
  <c r="J24" i="4"/>
  <c r="J18" i="5" l="1"/>
  <c r="K17" i="5"/>
  <c r="K24" i="4"/>
  <c r="J25" i="4"/>
  <c r="L17" i="5" l="1"/>
  <c r="K18" i="5"/>
  <c r="K25" i="4"/>
  <c r="J26" i="4"/>
  <c r="M17" i="5" l="1"/>
  <c r="L18" i="5"/>
  <c r="K26" i="4"/>
  <c r="J27" i="4"/>
  <c r="N17" i="5" l="1"/>
  <c r="M18" i="5"/>
  <c r="K27" i="4"/>
  <c r="J28" i="4"/>
  <c r="K28" i="4" l="1"/>
  <c r="J29" i="4"/>
  <c r="O17" i="5"/>
  <c r="N18" i="5"/>
  <c r="K29" i="4" l="1"/>
  <c r="J30" i="4"/>
  <c r="P17" i="5"/>
  <c r="O18" i="5"/>
  <c r="K30" i="4" l="1"/>
  <c r="J31" i="4"/>
  <c r="P18" i="5"/>
  <c r="Q17" i="5"/>
  <c r="K31" i="4" l="1"/>
  <c r="J32" i="4"/>
  <c r="Q18" i="5"/>
  <c r="R17" i="5"/>
  <c r="K32" i="4" l="1"/>
  <c r="J33" i="4"/>
  <c r="S17" i="5"/>
  <c r="R18" i="5"/>
  <c r="K33" i="4" l="1"/>
  <c r="J34" i="4"/>
  <c r="T17" i="5"/>
  <c r="S18" i="5"/>
  <c r="K34" i="4" l="1"/>
  <c r="J35" i="4"/>
  <c r="T18" i="5"/>
  <c r="U17" i="5"/>
  <c r="K35" i="4" l="1"/>
  <c r="J36" i="4"/>
  <c r="V17" i="5"/>
  <c r="U18" i="5"/>
  <c r="K36" i="4" l="1"/>
  <c r="J37" i="4"/>
  <c r="W17" i="5"/>
  <c r="V18" i="5"/>
  <c r="K37" i="4" l="1"/>
  <c r="J38" i="4"/>
  <c r="X17" i="5"/>
  <c r="W18" i="5"/>
  <c r="K38" i="4" l="1"/>
  <c r="J39" i="4"/>
  <c r="Y17" i="5"/>
  <c r="X18" i="5"/>
  <c r="K39" i="4" l="1"/>
  <c r="J40" i="4"/>
  <c r="Y18" i="5"/>
  <c r="Z17" i="5"/>
  <c r="K40" i="4" l="1"/>
  <c r="J41" i="4"/>
  <c r="K41" i="4" s="1"/>
  <c r="AA17" i="5"/>
  <c r="Z18" i="5"/>
  <c r="E9" i="4" l="1"/>
  <c r="AB17" i="5"/>
  <c r="AB18" i="5" s="1"/>
  <c r="AA18" i="5"/>
</calcChain>
</file>

<file path=xl/sharedStrings.xml><?xml version="1.0" encoding="utf-8"?>
<sst xmlns="http://schemas.openxmlformats.org/spreadsheetml/2006/main" count="1309" uniqueCount="546">
  <si>
    <t>Investimento</t>
  </si>
  <si>
    <t xml:space="preserve">Payback     </t>
  </si>
  <si>
    <t>Poupança prevista</t>
  </si>
  <si>
    <t>Redução de Energia Primária</t>
  </si>
  <si>
    <t>[tep/ano]</t>
  </si>
  <si>
    <t>[€/ano]</t>
  </si>
  <si>
    <t>[%]</t>
  </si>
  <si>
    <t>[ton/ano]</t>
  </si>
  <si>
    <t>Área Util do Pavimento</t>
  </si>
  <si>
    <t>Forma de energia</t>
  </si>
  <si>
    <t>Medida Nº</t>
  </si>
  <si>
    <t>Descrição da medida</t>
  </si>
  <si>
    <t>Antes da implementação</t>
  </si>
  <si>
    <t>anos</t>
  </si>
  <si>
    <t>Vida Util Equipamento</t>
  </si>
  <si>
    <t>Depois da implementação</t>
  </si>
  <si>
    <t>TIR</t>
  </si>
  <si>
    <t>ANÁLISE AUXILIAR</t>
  </si>
  <si>
    <t>Ano i</t>
  </si>
  <si>
    <t xml:space="preserve">Cash Flow </t>
  </si>
  <si>
    <t>CF Acumulado</t>
  </si>
  <si>
    <t>Fator Taxa Atualização</t>
  </si>
  <si>
    <t>Cash Flow (atualizado)</t>
  </si>
  <si>
    <t>CF Acumulado (atualizado)</t>
  </si>
  <si>
    <t>n.a.</t>
  </si>
  <si>
    <t>Anos</t>
  </si>
  <si>
    <t>VAL</t>
  </si>
  <si>
    <t>Custo de Investimento de cada medida</t>
  </si>
  <si>
    <t>Poupanças anuais (€ e kWh) geradas por medida</t>
  </si>
  <si>
    <t>Recuperação de Poupanças (RESUMO)</t>
  </si>
  <si>
    <t>Nome do PQ:</t>
  </si>
  <si>
    <t>Nº Carteira Profissional:</t>
  </si>
  <si>
    <t>Obs: Classe energetica a alcançar com as medidas incluidas na avaliaçao do cenário final (CE)</t>
  </si>
  <si>
    <t>Tipo de Medidas:</t>
  </si>
  <si>
    <t>i) Intervenções na envolvente opaca dos edifícios, com o objetivo de proceder à instalação de isolamento térmico em paredes, pavimentos, coberturas e caixas de estore;</t>
  </si>
  <si>
    <t>Identificação das medidas a implementar:</t>
  </si>
  <si>
    <t>Tipo de intervenção</t>
  </si>
  <si>
    <t>Descrição da solução técnica</t>
  </si>
  <si>
    <t>Aplicação de isolamento térmico no pavimento com EPS 150</t>
  </si>
  <si>
    <t>Aplicação de isolamento térmico na cobertura com EPS 150</t>
  </si>
  <si>
    <t>Aplicação de isolamento térmico na cobertura com lajetas térmicas XPS</t>
  </si>
  <si>
    <t>Vidro duplo incolor</t>
  </si>
  <si>
    <t>Vidro duplo low-e</t>
  </si>
  <si>
    <t>Dispositivos de sombreamento (estore veneziano ou equivalente)</t>
  </si>
  <si>
    <t>--</t>
  </si>
  <si>
    <t>Dispositivos de sombreamento (estores de lâminas de cor média)</t>
  </si>
  <si>
    <t>SIM</t>
  </si>
  <si>
    <t>NÃO</t>
  </si>
  <si>
    <t>Medidas identificadas na tabela dos custos - padrão por tecnologia (DGEG)</t>
  </si>
  <si>
    <t>Restantes medidas não identificadas na tabela dos custos - padrão por tecnologia (DGEG)</t>
  </si>
  <si>
    <t>Despesa Elegivel 
Corrigida</t>
  </si>
  <si>
    <t>Poupanças a alcançar com as medidas a implementar (até 25 anos)</t>
  </si>
  <si>
    <t>Nº Medida</t>
  </si>
  <si>
    <t>Total (até 25 anos)</t>
  </si>
  <si>
    <t>Totais</t>
  </si>
  <si>
    <t>ii) Intervenções na envolvente envidraçada dos edifícios, nomeadamente através da substituição de caixilharia com vidro simples, e caixilharia com vidro duplo sem corte térmico, por caixilharia com vidro duplo e corte térmico, ou solução equivalente em termos de desempenho energético, e respetivos dispositivos de sombreamento;</t>
  </si>
  <si>
    <t>iii) Intervenções nos sistemas técnicos instalados, através da substituição dos sistemas existentes por sistemas de elevada eficiência, ou através de intervenções nos sistemas existentes que visem aumentar a sua eficiência energética, nomeadamente integração de água quente solar, incorporação de microgeração, sistemas de iluminação, aquecimento, ventilação e ar condicionado (AVAC);</t>
  </si>
  <si>
    <t>Aquecimento de águas sanitárias (AQS)</t>
  </si>
  <si>
    <t>AQS e Climatização</t>
  </si>
  <si>
    <t>Até 5 kWe</t>
  </si>
  <si>
    <t>Custo caldeira + 15€/elemento</t>
  </si>
  <si>
    <t>Sistemas de produção de energia</t>
  </si>
  <si>
    <t>Auditoria energéticas</t>
  </si>
  <si>
    <r>
      <t>Inferior a 1000 m</t>
    </r>
    <r>
      <rPr>
        <vertAlign val="superscript"/>
        <sz val="10"/>
        <color indexed="8"/>
        <rFont val="Calibri"/>
        <family val="2"/>
      </rPr>
      <t>2</t>
    </r>
  </si>
  <si>
    <r>
      <t>Entre 1000 e 2500 m</t>
    </r>
    <r>
      <rPr>
        <vertAlign val="superscript"/>
        <sz val="10"/>
        <color indexed="8"/>
        <rFont val="Calibri"/>
        <family val="2"/>
      </rPr>
      <t>2</t>
    </r>
  </si>
  <si>
    <r>
      <t>Entre 2500 e 10000 m</t>
    </r>
    <r>
      <rPr>
        <vertAlign val="superscript"/>
        <sz val="10"/>
        <color indexed="8"/>
        <rFont val="Calibri"/>
        <family val="2"/>
      </rPr>
      <t>2</t>
    </r>
  </si>
  <si>
    <r>
      <t>Superior a 10000 m</t>
    </r>
    <r>
      <rPr>
        <vertAlign val="superscript"/>
        <sz val="10"/>
        <color indexed="8"/>
        <rFont val="Calibri"/>
        <family val="2"/>
      </rPr>
      <t>2</t>
    </r>
  </si>
  <si>
    <t>v) Instalação de sistemas e equipamentos que permitam a gestão de consumos de energia, por forma a contabilizar e gerir os consumos de energia, gerando assim economias e possibilitando a sua transferência entre períodos tarifários</t>
  </si>
  <si>
    <t>Despesas elegiveis</t>
  </si>
  <si>
    <t>Potência</t>
  </si>
  <si>
    <t>Medidas a) i)</t>
  </si>
  <si>
    <t>Medidas a) ii)</t>
  </si>
  <si>
    <t>Medidas a) iv)</t>
  </si>
  <si>
    <t>Despesas elegiveis em:</t>
  </si>
  <si>
    <t>Medidas c)</t>
  </si>
  <si>
    <t>Acumulado</t>
  </si>
  <si>
    <t>Economia Anual (Poupança Energia - Custos (O&amp;M) - Custos Substituição)</t>
  </si>
  <si>
    <t>Taxa Atualização</t>
  </si>
  <si>
    <t>F</t>
  </si>
  <si>
    <t>E</t>
  </si>
  <si>
    <t>D</t>
  </si>
  <si>
    <t>C</t>
  </si>
  <si>
    <t>B-</t>
  </si>
  <si>
    <t>A</t>
  </si>
  <si>
    <t>A+</t>
  </si>
  <si>
    <t>Total</t>
  </si>
  <si>
    <t>O edificio a intervencionar enquadra-se numa grande intervenção?</t>
  </si>
  <si>
    <t>Nome da Operação:</t>
  </si>
  <si>
    <t xml:space="preserve">Pessoa de Contato: </t>
  </si>
  <si>
    <t xml:space="preserve">Email: </t>
  </si>
  <si>
    <t xml:space="preserve">Telefone: </t>
  </si>
  <si>
    <t>Localidade:</t>
  </si>
  <si>
    <t>Concelho:</t>
  </si>
  <si>
    <t>Nº Certificado Energético:</t>
  </si>
  <si>
    <t>Data de emissão:</t>
  </si>
  <si>
    <t>Classe Energética Atual:</t>
  </si>
  <si>
    <t>Área total a intervencionar</t>
  </si>
  <si>
    <t>B</t>
  </si>
  <si>
    <t>Até 80 mm de isolamento</t>
  </si>
  <si>
    <t>Substituição de vãos envidraçados por soluções mais eficientes com caixilharia de PVC</t>
  </si>
  <si>
    <t>Até 18 litros/min</t>
  </si>
  <si>
    <t>Até 27 litros/min</t>
  </si>
  <si>
    <t>Até 35 kW</t>
  </si>
  <si>
    <t>Até 30 kW</t>
  </si>
  <si>
    <t>Até 45 kW</t>
  </si>
  <si>
    <t>Até 65 kW</t>
  </si>
  <si>
    <t>Vida Util Equipamento (anos)</t>
  </si>
  <si>
    <t>Vida Util Equipamento/solução
(anos)</t>
  </si>
  <si>
    <t>Custo unitário máximo por equipamento (€)</t>
  </si>
  <si>
    <t>Área interior</t>
  </si>
  <si>
    <t>Substituição de lâmpadas convencionais por tubos de led</t>
  </si>
  <si>
    <t>Substituição de lâmpadas dicroicas por led</t>
  </si>
  <si>
    <t>Até 25 W/lâmpada</t>
  </si>
  <si>
    <t>Até 15 W/lâmpada</t>
  </si>
  <si>
    <t>Gás Natural</t>
  </si>
  <si>
    <t>Fonte de energia</t>
  </si>
  <si>
    <t>[€]</t>
  </si>
  <si>
    <t>Data de validade:</t>
  </si>
  <si>
    <r>
      <t xml:space="preserve">Redução de fatura esperada com aplicação </t>
    </r>
    <r>
      <rPr>
        <b/>
        <sz val="9"/>
        <rFont val="Calibri"/>
        <family val="2"/>
      </rPr>
      <t xml:space="preserve">da medida </t>
    </r>
  </si>
  <si>
    <t>Custo de reinvestimento por substituição 
(se aplicável)</t>
  </si>
  <si>
    <t>[ano]</t>
  </si>
  <si>
    <t>Poupanças anuais 
 (ano 1)</t>
  </si>
  <si>
    <t>Envolvente opaca</t>
  </si>
  <si>
    <t>Vãos envidraçados</t>
  </si>
  <si>
    <r>
      <t>Aplicação de isolamento térmico em paredes (ETICS)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com EPS 100</t>
    </r>
  </si>
  <si>
    <r>
      <t>Aplicação de isolamento térmico em paredes (ETICS)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com EPS 150</t>
    </r>
  </si>
  <si>
    <t>Substituição de vãos envidraçados por soluções com caixilharia de alumínio com corte térmico</t>
  </si>
  <si>
    <t xml:space="preserve">Despesa Elegivel </t>
  </si>
  <si>
    <t>Despesa Total Elegivel [Medidas a).ii)]</t>
  </si>
  <si>
    <t>Despesa Total Elegivel [Medidas a).i)]</t>
  </si>
  <si>
    <t>Capacidade / Potência</t>
  </si>
  <si>
    <t>[anos]</t>
  </si>
  <si>
    <t>Área útil coberta pelos sistemas e equipamentos</t>
  </si>
  <si>
    <t>Despesa Total Elegivel [Medidas a).iii)]</t>
  </si>
  <si>
    <t>[kW]</t>
  </si>
  <si>
    <t>b).i) Instalação de painéis solares térmicos para produção de água quente sanitária e climatização</t>
  </si>
  <si>
    <t>Medidas b) i)</t>
  </si>
  <si>
    <t>Medidas b) ii)</t>
  </si>
  <si>
    <t>Despesa Total Elegivel [Medidas b).ii)]</t>
  </si>
  <si>
    <t>Despesa Total Elegivel [Medidas b).i)]</t>
  </si>
  <si>
    <t>Despesa Total Elegivel [Medidas a).v)]</t>
  </si>
  <si>
    <t>Despesa Total Elegivel [Medidas a).iv)]</t>
  </si>
  <si>
    <t>IVA associado (se despesa elegivel)</t>
  </si>
  <si>
    <t>Medidas não identificadas na tabela dos custos - padrão por tecnologia (DGEG)</t>
  </si>
  <si>
    <t>Despesa Total Elegivel corrigida [Medida b).ii)] - Máx 30% Despesa Elegivel Operação</t>
  </si>
  <si>
    <t>e adicionalmente por 2 folhas com valores a ter em conta no preenchimentos das folhas 2 a 8:</t>
  </si>
  <si>
    <t>- Para as soluções técnicas não identificadas nesta folha, devem assumir-se os tempos de vida util das soluções técnicas equiparadas.</t>
  </si>
  <si>
    <t>São de preenchimento obrigatório:</t>
  </si>
  <si>
    <t>São de preenchimento facultativo,  conforme as tipologias de operação a que o beneficiário se pretende candidatar:</t>
  </si>
  <si>
    <r>
      <rPr>
        <b/>
        <sz val="10"/>
        <rFont val="Arial"/>
        <family val="2"/>
      </rPr>
      <t>Antes de submeter a sua candidatura no Balcão Único 2020, verifique se anexou todos os ficheiros solicitados,</t>
    </r>
    <r>
      <rPr>
        <b/>
        <sz val="10"/>
        <color rgb="FF0070C0"/>
        <rFont val="Arial"/>
        <family val="2"/>
      </rPr>
      <t xml:space="preserve"> sem os quais a candidatura não poderá ser aprovada!</t>
    </r>
  </si>
  <si>
    <t xml:space="preserve">Folha 1. </t>
  </si>
  <si>
    <t>Campos para preenchimento e considerações de cada folha:</t>
  </si>
  <si>
    <t>Classe Energética Final após a implementação das medidas de melhoria identificadas</t>
  </si>
  <si>
    <t>Classes de desempenho energético</t>
  </si>
  <si>
    <t>Investimento Total Elegivel 
(I.T.E)</t>
  </si>
  <si>
    <t xml:space="preserve">Vida útil das medidas </t>
  </si>
  <si>
    <t>Poupanças Não Atualizadas para periodo temporal máximo de 25 anos</t>
  </si>
  <si>
    <t>Reembolso mín (70% das poupanças medias anuais para o periodo de analise financeira)</t>
  </si>
  <si>
    <r>
      <t xml:space="preserve">Outras Despesas Elegiveis 
</t>
    </r>
    <r>
      <rPr>
        <b/>
        <i/>
        <sz val="10"/>
        <color theme="1"/>
        <rFont val="Calibri"/>
        <family val="2"/>
        <scheme val="minor"/>
      </rPr>
      <t>(caso aplicável)</t>
    </r>
  </si>
  <si>
    <r>
      <t xml:space="preserve">Período da análise financeira do projeto
</t>
    </r>
    <r>
      <rPr>
        <b/>
        <i/>
        <sz val="10"/>
        <color theme="1"/>
        <rFont val="Calibri"/>
        <family val="2"/>
        <scheme val="minor"/>
      </rPr>
      <t>(até ao máx. de 25 anos)</t>
    </r>
  </si>
  <si>
    <r>
      <t xml:space="preserve">Poupança média anual
</t>
    </r>
    <r>
      <rPr>
        <b/>
        <i/>
        <sz val="10"/>
        <color theme="1"/>
        <rFont val="Calibri"/>
        <family val="2"/>
        <scheme val="minor"/>
      </rPr>
      <t>(para o periodo de analise financeira anterior)</t>
    </r>
  </si>
  <si>
    <t>Apuramento da poupança média anual:</t>
  </si>
  <si>
    <t xml:space="preserve">Apuramento do valor de reembolso semestral e respetiva % de poupança equivalente: </t>
  </si>
  <si>
    <t>1º a penultimo reembolso</t>
  </si>
  <si>
    <t>Último reembolso</t>
  </si>
  <si>
    <t>Nº Reembolsos
(base semestral)</t>
  </si>
  <si>
    <t>Plano de Reembolsos</t>
  </si>
  <si>
    <t>Poupanças Totais €/ano</t>
  </si>
  <si>
    <t>Poupanças Totais kWh/ano</t>
  </si>
  <si>
    <t>Subvenção Não Reembolsável</t>
  </si>
  <si>
    <t>Reinvestimento 
(se aplicavel)</t>
  </si>
  <si>
    <t>Consumo estimado [kWh]</t>
  </si>
  <si>
    <t>N.A.</t>
  </si>
  <si>
    <t>Renováveis</t>
  </si>
  <si>
    <t>GPL</t>
  </si>
  <si>
    <t>Custo Energético</t>
  </si>
  <si>
    <t>Energia Elétrica</t>
  </si>
  <si>
    <t>Gasóleo/Diesel</t>
  </si>
  <si>
    <t>Madeira/Resíduos de Madeira</t>
  </si>
  <si>
    <t>Peletes/Briquetes de Madeira</t>
  </si>
  <si>
    <r>
      <t xml:space="preserve">Redução de consumo esperado com aplicação </t>
    </r>
    <r>
      <rPr>
        <b/>
        <sz val="9"/>
        <rFont val="Calibri"/>
        <family val="2"/>
      </rPr>
      <t>da medida [kWh]</t>
    </r>
  </si>
  <si>
    <r>
      <t>[kWh</t>
    </r>
    <r>
      <rPr>
        <b/>
        <vertAlign val="subscript"/>
        <sz val="9"/>
        <color theme="1"/>
        <rFont val="Calibri"/>
        <family val="2"/>
        <scheme val="minor"/>
      </rPr>
      <t>EP</t>
    </r>
    <r>
      <rPr>
        <b/>
        <sz val="9"/>
        <color theme="1"/>
        <rFont val="Calibri"/>
        <family val="2"/>
        <scheme val="minor"/>
      </rPr>
      <t>/ano]</t>
    </r>
  </si>
  <si>
    <r>
      <t>Redução das emissões de CO</t>
    </r>
    <r>
      <rPr>
        <b/>
        <vertAlign val="subscript"/>
        <sz val="9"/>
        <color theme="1"/>
        <rFont val="Calibri"/>
        <family val="2"/>
        <scheme val="minor"/>
      </rPr>
      <t>2</t>
    </r>
  </si>
  <si>
    <t>Custo Manutenção e Operação anual
(se aplicável)</t>
  </si>
  <si>
    <t>Custos Operação e Manutenção [€/ano]</t>
  </si>
  <si>
    <t>Economia Energia [€/ano]</t>
  </si>
  <si>
    <t>[unidades]</t>
  </si>
  <si>
    <t>Número de reinvestimentos previstos (se aplicável)</t>
  </si>
  <si>
    <t>Ano em que ocorre a primeira substituiçao do Equipamento</t>
  </si>
  <si>
    <r>
      <t>[m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]</t>
    </r>
  </si>
  <si>
    <t>Custos de reinvestimento por substituição [€]</t>
  </si>
  <si>
    <t>Redução Energética [kWh/ano]</t>
  </si>
  <si>
    <t>Redução Energética [kWh/ano] 
(ano 1)</t>
  </si>
  <si>
    <r>
      <t>[€/m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]</t>
    </r>
  </si>
  <si>
    <t>Valor estimado de Investimento (sem IVA)</t>
  </si>
  <si>
    <r>
      <t>[€</t>
    </r>
    <r>
      <rPr>
        <b/>
        <sz val="9"/>
        <color theme="1"/>
        <rFont val="Calibri"/>
        <family val="2"/>
        <scheme val="minor"/>
      </rPr>
      <t>]</t>
    </r>
  </si>
  <si>
    <t>-</t>
  </si>
  <si>
    <t>Poupanças [€/ano] (100%)</t>
  </si>
  <si>
    <t>Poupanças [kWh/ano] (100%)</t>
  </si>
  <si>
    <t>PCI [MJ/kg]</t>
  </si>
  <si>
    <t>PCI [tep/ton]</t>
  </si>
  <si>
    <t>Fator conversão [tep/kWh]</t>
  </si>
  <si>
    <r>
      <t>Emissões de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Atuais [ton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eq/ano]:</t>
    </r>
  </si>
  <si>
    <t>Custo Unitário Energia [€/kWh]:</t>
  </si>
  <si>
    <t>Custos Estimados Anuais [€/ano]:</t>
  </si>
  <si>
    <t>Para efeitos de contabilização das poupanças liquidas, é tido em conta o valor das poupanças anuais no ano 1 de cada medida, e automaticamente extendidas até à conclusão da sua vida útil. 
Caso tenha sido considerado o reinvestimento numa determinada medida (tendo-se preenchido para esse efeito os campos relativos ao valor de reinvestimento e o nº de reinvestimentos previstos), o impato dessas poupanças será considerado automaticamente até ao fim de um novo periodo de vida útil.
A determinação das reduções de consumo energético é feita automaticamente.</t>
  </si>
  <si>
    <t>Investimento Total [Medidas a).i)]</t>
  </si>
  <si>
    <t>Consumo de Energia Primária</t>
  </si>
  <si>
    <t>Investimento Total [Medidas a).ii)]</t>
  </si>
  <si>
    <t>Investimento Total [Medidas b).ii)]</t>
  </si>
  <si>
    <t>Investimento Total [Medidas a).iii)]</t>
  </si>
  <si>
    <t>Investimento Total [Medidas a).iv)]</t>
  </si>
  <si>
    <t>Investimento Total [Medidas a).v)]</t>
  </si>
  <si>
    <t>Investimento Total [Medidas b).i)]</t>
  </si>
  <si>
    <r>
      <t>Fator conversão [kWh</t>
    </r>
    <r>
      <rPr>
        <vertAlign val="subscript"/>
        <sz val="10"/>
        <color theme="1"/>
        <rFont val="Calibri"/>
        <family val="2"/>
        <scheme val="minor"/>
      </rPr>
      <t>EP</t>
    </r>
    <r>
      <rPr>
        <sz val="10"/>
        <color theme="1"/>
        <rFont val="Calibri"/>
        <family val="2"/>
        <scheme val="minor"/>
      </rPr>
      <t>/kWh]</t>
    </r>
  </si>
  <si>
    <r>
      <t>FE [kgCO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e/tep]</t>
    </r>
  </si>
  <si>
    <r>
      <t>FE [kgCO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e/kWh]</t>
    </r>
  </si>
  <si>
    <r>
      <t>FE [kgCO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/kWh]</t>
    </r>
  </si>
  <si>
    <r>
      <t>FE [kgCO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e/GJ]</t>
    </r>
  </si>
  <si>
    <t>Somatório dos elementos de todos os radiadores (se aplicável)</t>
  </si>
  <si>
    <r>
      <t>Fatores de conversão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 tep (Despacho n.º 17313/2008 e Despacho n.º 15793-D/2013)</t>
    </r>
  </si>
  <si>
    <t>Poupanças acumuladas não atualizadas por medida (preenchimento automático)</t>
  </si>
  <si>
    <t>Poupanças acumuladas não atualizadas de todas as medidas (preenchimento automático)</t>
  </si>
  <si>
    <t>Periodo temporal necessário para recuperaçao do apoio (preenchimento automático)</t>
  </si>
  <si>
    <t>Restantes fontes (selecionar da lista de fontes disponivel)</t>
  </si>
  <si>
    <t>Quadro Valor de Apoio a atribuir:</t>
  </si>
  <si>
    <t>Quadro Investimento Total e Elegivel:</t>
  </si>
  <si>
    <t>Valores apurados 
(tendo em conta as despesas elegiveis)</t>
  </si>
  <si>
    <t>Valores ajustados 
(tendo em conta os limites de dotação financeira)</t>
  </si>
  <si>
    <r>
      <t xml:space="preserve">Subvenção Reembolsável 
</t>
    </r>
    <r>
      <rPr>
        <b/>
        <i/>
        <sz val="11"/>
        <color theme="1"/>
        <rFont val="Calibri"/>
        <family val="2"/>
        <scheme val="minor"/>
      </rPr>
      <t>(a devolver)</t>
    </r>
  </si>
  <si>
    <r>
      <t>Subvenção Reembolsável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a devolver)</t>
    </r>
  </si>
  <si>
    <t xml:space="preserve">Quadro Poupança Média Anual e  Valor de Reembolso Semestral </t>
  </si>
  <si>
    <t>Potência a instalar</t>
  </si>
  <si>
    <t>Máximos</t>
  </si>
  <si>
    <t>Mínimos</t>
  </si>
  <si>
    <r>
      <t>[litros</t>
    </r>
    <r>
      <rPr>
        <b/>
        <sz val="9"/>
        <color theme="1"/>
        <rFont val="Calibri"/>
        <family val="2"/>
      </rPr>
      <t>÷</t>
    </r>
    <r>
      <rPr>
        <b/>
        <sz val="9"/>
        <color theme="1"/>
        <rFont val="Calibri"/>
        <family val="2"/>
        <scheme val="minor"/>
      </rPr>
      <t>min / litros / kW]</t>
    </r>
  </si>
  <si>
    <r>
      <t>Área Util do Pavimento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):</t>
    </r>
  </si>
  <si>
    <t>Investimento (e valor residual, se aplicável)</t>
  </si>
  <si>
    <t>Medida de Melhoria incluida na avaliação do cenário final do CE?</t>
  </si>
  <si>
    <r>
      <t>Área
[m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]</t>
    </r>
  </si>
  <si>
    <r>
      <t>Intervalo aplicável [m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]</t>
    </r>
  </si>
  <si>
    <t>% da Poupança líquida considerada</t>
  </si>
  <si>
    <t>- Para efeitos de aplicação de custos-padrão de tecnologias e superficies (quando aplicavel), bem como do tempo de vida util dos equipamentos, são considerados os valores identificados nesta folha (preenchimento automático)</t>
  </si>
  <si>
    <t xml:space="preserve">Total </t>
  </si>
  <si>
    <t>b).ii) Instalação de sistemas de produção de energia elétrica para autoconsumo a partir de fontes de energia renovável</t>
  </si>
  <si>
    <t>Valor máx. elegível por aplicação de Custo Padrão (sem IVA)</t>
  </si>
  <si>
    <t>Fator conversão [kWh/MJ]</t>
  </si>
  <si>
    <t>2. Medidas a).i) Envolvente opaca</t>
  </si>
  <si>
    <t>3. Medidas a).ii) Envolvente envidraçada</t>
  </si>
  <si>
    <t>6. Medidas a).iv) Sistemas de gestão</t>
  </si>
  <si>
    <t>7. Medidas b) i) Painéis solares térmicos</t>
  </si>
  <si>
    <t>8. Medidas b) ii) Sistemas de produção de energia</t>
  </si>
  <si>
    <t>9. Medidas c) Iluminação pública</t>
  </si>
  <si>
    <t>10. Medidas d) Auditorias</t>
  </si>
  <si>
    <t>1. Identificação do beneficiário da operação</t>
  </si>
  <si>
    <t>Folha 2. a 9.</t>
  </si>
  <si>
    <t>- Preenchidas tendo em conta se as medidas candidatas são enquadraveis em "Medidas identificadas na tabela dos custos-padrão por tecnologia (DGEG)" ou em "Restantes medidas não identificadas na tabela dos custos - padrão por tecnologia (DGEG)"</t>
  </si>
  <si>
    <t>- Para efeitos de conversão de unidades de energia para "tep" e "kgCO2", a utilizar nas folhas 2. a 7., são considerados os fatores de conversão identificados nesta folha (preenchimento automático</t>
  </si>
  <si>
    <r>
      <t xml:space="preserve">- Preenchidas </t>
    </r>
    <r>
      <rPr>
        <u/>
        <sz val="10"/>
        <color theme="1"/>
        <rFont val="Arial"/>
        <family val="2"/>
      </rPr>
      <t xml:space="preserve">em complemento </t>
    </r>
    <r>
      <rPr>
        <sz val="10"/>
        <color theme="1"/>
        <rFont val="Arial"/>
        <family val="2"/>
      </rPr>
      <t>às tipologias de operação identificadas nas folhas 2. a 6. e 9.</t>
    </r>
  </si>
  <si>
    <t>Dados do Edificio/Infraestrutura</t>
  </si>
  <si>
    <t>Morada/localização:</t>
  </si>
  <si>
    <t>4. Medidas a).iii) Sistemas técnicos</t>
  </si>
  <si>
    <t>5. Medidas a).iii) Iluminação interior</t>
  </si>
  <si>
    <t>iv) Iluminação interior</t>
  </si>
  <si>
    <t>c) Intervenções nos sistemas de iluminação pública, sistemas semafóricos e sistemas de iluminação decorativa, tais como monumentos, jardins, entre outros, com o objetivo de reduzir os consumos de energia, através da instalação de sistemas e tecnologias mais eficientes, assim como pela introdução de sistemas de gestão capazes de potenciar reduções do consumo de energia elétrica associado a estes sistemas.</t>
  </si>
  <si>
    <t>Custo unitário máximo
(€/m2)</t>
  </si>
  <si>
    <t>Até 100 mm de isolamento</t>
  </si>
  <si>
    <t>Sistema solar de circulação forçada (peças): coletor adicional</t>
  </si>
  <si>
    <t>+500 litros</t>
  </si>
  <si>
    <t>Esquentador compacto de exaustão ventilada</t>
  </si>
  <si>
    <t>Esquentador compacto, ventilado e estanque (adequado para apoio ao solar térmico)</t>
  </si>
  <si>
    <t>Esquentador de alta capacidade</t>
  </si>
  <si>
    <t>Termoacumulador elétrico 2 kW</t>
  </si>
  <si>
    <t>A té 75 litros</t>
  </si>
  <si>
    <t>Caldeira mural convencional a gás</t>
  </si>
  <si>
    <t>Bomba de calor ar-água (unidade exterior/unidade interior)</t>
  </si>
  <si>
    <t>Caldeira mural com radiadores constituídos por elementos</t>
  </si>
  <si>
    <t>30-65 kW</t>
  </si>
  <si>
    <t>Custo unitário máximo por unidade de potência (€/w)</t>
  </si>
  <si>
    <t>Sistemas de Iluminação</t>
  </si>
  <si>
    <t>Custo unitário máximo por equipamento  (€)</t>
  </si>
  <si>
    <t>Iluminação pública, decorativa e semáforos</t>
  </si>
  <si>
    <t>Instalação de Luminária LED, com potência referência de 20 W</t>
  </si>
  <si>
    <t>70 W</t>
  </si>
  <si>
    <t>Instalação de Luminária LED, com potência referência de 40 W</t>
  </si>
  <si>
    <t>100 W</t>
  </si>
  <si>
    <t>Instalação de Luminária LED, com potência referência de 55 W</t>
  </si>
  <si>
    <t>150 W</t>
  </si>
  <si>
    <t>Instalação de Luminária LED, com potência referência de 110 W</t>
  </si>
  <si>
    <t>250 W</t>
  </si>
  <si>
    <t>Instalação de óticas LED para semáforos, com potência de referência de 10 W</t>
  </si>
  <si>
    <t>70 W ou 100 W</t>
  </si>
  <si>
    <t>Instalação de luminárias decorativas (globo) LED</t>
  </si>
  <si>
    <t>Até 250 W</t>
  </si>
  <si>
    <t xml:space="preserve">Instalação de luminárias decorativas </t>
  </si>
  <si>
    <t>Até 150 W</t>
  </si>
  <si>
    <t>Sistemas de telegestão a instalar nos sistemas de iluminação pública</t>
  </si>
  <si>
    <t>Valor por luminária</t>
  </si>
  <si>
    <t>Até 1,5 kwp</t>
  </si>
  <si>
    <t>Sistema Solar fotovoltaico</t>
  </si>
  <si>
    <t>Mais de 1,5 a 20 Kwp</t>
  </si>
  <si>
    <t>Mais de 20 kwp</t>
  </si>
  <si>
    <t>[W]</t>
  </si>
  <si>
    <t>Custo unitário máximo por (€/kWp)</t>
  </si>
  <si>
    <t>Área de coletores</t>
  </si>
  <si>
    <r>
      <t xml:space="preserve">Caldeira mural de condensação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30 kW</t>
    </r>
  </si>
  <si>
    <r>
      <t xml:space="preserve">Caldeira mural de condensação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65 kW</t>
    </r>
  </si>
  <si>
    <r>
      <t xml:space="preserve">Caldeira mural de condensação </t>
    </r>
    <r>
      <rPr>
        <u/>
        <sz val="10"/>
        <color theme="1"/>
        <rFont val="Calibri"/>
        <family val="2"/>
        <scheme val="minor"/>
      </rPr>
      <t>&lt;</t>
    </r>
    <r>
      <rPr>
        <sz val="10"/>
        <color theme="1"/>
        <rFont val="Calibri"/>
        <family val="2"/>
        <scheme val="minor"/>
      </rPr>
      <t xml:space="preserve"> 45 kW</t>
    </r>
  </si>
  <si>
    <t>Área dos coletores/ n.º adicional de depósitos de 500 litros</t>
  </si>
  <si>
    <r>
      <t>Coletores [m</t>
    </r>
    <r>
      <rPr>
        <b/>
        <vertAlign val="superscript"/>
        <sz val="9"/>
        <color theme="1"/>
        <rFont val="Calibri"/>
        <family val="2"/>
        <scheme val="minor"/>
      </rPr>
      <t>2</t>
    </r>
    <r>
      <rPr>
        <b/>
        <sz val="9"/>
        <color theme="1"/>
        <rFont val="Calibri"/>
        <family val="2"/>
        <scheme val="minor"/>
      </rPr>
      <t>]
Depósitos [n.º]</t>
    </r>
  </si>
  <si>
    <t xml:space="preserve">Sistema solar de circulação forçada (kit) com 3 coletores, incluindo depósito 500 l, acessórios e tubagem, instalação, testes e transportes </t>
  </si>
  <si>
    <t>Aquecimento de águas sanitárias (AQS) com sistema solar</t>
  </si>
  <si>
    <t>Sistema solar de circulação forçada (kit) com 4 coletores, incluindo depósito 500 l, acessórios e tubagem, instalação, testes e transportes</t>
  </si>
  <si>
    <t>Sistema solar de circulação forçada (peças) com 6 coletores, incluindo depósito 500 l, acessórios e tubagem, instalação, testes e transportes</t>
  </si>
  <si>
    <r>
      <t xml:space="preserve">por coletor com </t>
    </r>
    <r>
      <rPr>
        <u/>
        <sz val="10"/>
        <color theme="1"/>
        <rFont val="Calibri"/>
        <family val="2"/>
        <scheme val="minor"/>
      </rPr>
      <t>+</t>
    </r>
    <r>
      <rPr>
        <sz val="10"/>
        <color theme="1"/>
        <rFont val="Calibri"/>
        <family val="2"/>
        <scheme val="minor"/>
      </rPr>
      <t xml:space="preserve"> 2 m</t>
    </r>
    <r>
      <rPr>
        <vertAlign val="superscript"/>
        <sz val="10"/>
        <color theme="1"/>
        <rFont val="Calibri"/>
        <family val="2"/>
        <scheme val="minor"/>
      </rPr>
      <t>2</t>
    </r>
  </si>
  <si>
    <t>Capacidade adicional de armazenamento do sistema solar (em unidades de 500 litros e incluindo aumento de capacidade do vaso de expansão e do grupo de circulação)</t>
  </si>
  <si>
    <t>Módulos fotovoltaicos com estrutura e inversor &lt; 1,5 kWp</t>
  </si>
  <si>
    <t>Sistema Solar fotovoltaico &gt; 20 kWp</t>
  </si>
  <si>
    <t/>
  </si>
  <si>
    <t>Luminárias a instalar</t>
  </si>
  <si>
    <t>[N.º]</t>
  </si>
  <si>
    <r>
      <t>Auditorias e avaliações energéticas a grandes edifícios de comércio e serviços (1000 a 2500 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</si>
  <si>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r>
      <t>Auditorias e avaliações energéticas a grandes edifícios de comércio e serviços (2500 a 10000 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</si>
  <si>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r>
      <t>Auditorias e avaliações energéticas a grandes edifícios de comércio e serviços (superior a 10000 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</si>
  <si>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t>Auditorias e avaliações energéticas a pequenos edifícios de comércio e serviços</t>
  </si>
  <si>
    <t>Medidas a) iii) Sistemas</t>
  </si>
  <si>
    <t xml:space="preserve">Medidas a) iii) Iluminação </t>
  </si>
  <si>
    <t>Medidas c) IP</t>
  </si>
  <si>
    <t>Medidas a) iii) Iluminação</t>
  </si>
  <si>
    <t>Medidas d)</t>
  </si>
  <si>
    <r>
      <t>Total Despesas Elegiveis
[</t>
    </r>
    <r>
      <rPr>
        <b/>
        <i/>
        <sz val="10"/>
        <color theme="1"/>
        <rFont val="Calibri"/>
        <family val="2"/>
        <scheme val="minor"/>
      </rPr>
      <t>medidas a), b), c) e d)]</t>
    </r>
  </si>
  <si>
    <t>11. Outras despesas incluídas no art.º 7º do Regulamento SEUR</t>
  </si>
  <si>
    <t>Medidas de Eficiência Energética a implementar para a tipologia de medida respetiva</t>
  </si>
  <si>
    <t>Folha 10. e 11.</t>
  </si>
  <si>
    <t>- As folhas 2. a 11.</t>
  </si>
  <si>
    <t>Relativamente às folhas:</t>
  </si>
  <si>
    <t>2. a 11., as mesmas devem ser:</t>
  </si>
  <si>
    <t>7., 8., 10. e 11., as mesmas devem ser:</t>
  </si>
  <si>
    <t>- Um projeto que apresente apenas o preenchimento das folhas 7., 8., 10. ou 11. não é elegivel!</t>
  </si>
  <si>
    <t>Despesa não elegível</t>
  </si>
  <si>
    <t>Taxas máximas de financiamento das despesas elegíveis</t>
  </si>
  <si>
    <t>POR Centro</t>
  </si>
  <si>
    <t>POR Lisboa</t>
  </si>
  <si>
    <t>POR Algarve</t>
  </si>
  <si>
    <t>POR</t>
  </si>
  <si>
    <r>
      <t xml:space="preserve">Nº anos necessarios para reembolso do apoio a atribuir
</t>
    </r>
    <r>
      <rPr>
        <b/>
        <i/>
        <sz val="10"/>
        <color theme="1"/>
        <rFont val="Calibri"/>
        <family val="2"/>
        <scheme val="minor"/>
      </rPr>
      <t>(pelo menos 70% poupança média anual)</t>
    </r>
  </si>
  <si>
    <r>
      <t xml:space="preserve">Valor de reembolso anual ajustado 
</t>
    </r>
    <r>
      <rPr>
        <b/>
        <i/>
        <sz val="10"/>
        <color theme="1"/>
        <rFont val="Calibri"/>
        <family val="2"/>
        <scheme val="minor"/>
      </rPr>
      <t>(para o nº anos calculado anteriormente)</t>
    </r>
  </si>
  <si>
    <t>Eixo Prioritário:</t>
  </si>
  <si>
    <t>I - Apoiar a transição para uma economia com baixas emissões de carbono em todos os setores</t>
  </si>
  <si>
    <t>Prioridade de Investimento:</t>
  </si>
  <si>
    <t>4.3. Apoio à eficiência energética, à gestão inteligente da energia e à utilização das energias renováveis nas infraestruturas públicas, nomeadamente nos edifícios públicos e no setor da habitação.</t>
  </si>
  <si>
    <t>Sim</t>
  </si>
  <si>
    <t>3. Eficiência energética nas infraestruturas públicas</t>
  </si>
  <si>
    <t>Não</t>
  </si>
  <si>
    <t>Secção RE SEUR:</t>
  </si>
  <si>
    <t>Código do Aviso:</t>
  </si>
  <si>
    <t>Código da Operação:</t>
  </si>
  <si>
    <t>Designação da Operação:</t>
  </si>
  <si>
    <t>Entidade Beneficiária:</t>
  </si>
  <si>
    <t>Código</t>
  </si>
  <si>
    <t>Unidade</t>
  </si>
  <si>
    <t>Meta</t>
  </si>
  <si>
    <t>Ano Alvo</t>
  </si>
  <si>
    <t>Indicador Aplicavel à Operação?</t>
  </si>
  <si>
    <t>Indicador a Contratualizar?</t>
  </si>
  <si>
    <t>O.04.03.02.C</t>
  </si>
  <si>
    <t>Redução anual do consumo de energia primária nos edifícios públicos</t>
  </si>
  <si>
    <t>4 - Apoio à eficiência energética, à gestão inteligente da energia e à utilização das energias renováveis nas infraestruturas públicas da Administração Local</t>
  </si>
  <si>
    <t>Redução anual do consumo de energia primária na iluminação pública</t>
  </si>
  <si>
    <t>O.04.03.01.E</t>
  </si>
  <si>
    <t>Consumo de energia primária nos edifícios da administração local após a intervenção</t>
  </si>
  <si>
    <t>Consumo de energia primária na iluminação pública após a intervenção</t>
  </si>
  <si>
    <t>Observações quanto aos valores apresentados</t>
  </si>
  <si>
    <t>Tipologia de Intervenção</t>
  </si>
  <si>
    <t>Para efeitos de contabilização das poupanças liquidas, é tido em conta o valor das poupanças anuais no ano 1 de cada medida, automaticamente extendido até à conclusão da sua vida útil. 
Caso tenha sido considerado o reinvestimento numa determinada medida (tendo-se preenchido para esse efeito os campos relativos ao valor de reinvestimento e o nº de reinvestimentos previstos), o impato dessas poupanças será considerado automaticamente até ao fim de um novo periodo de vida útil.
A determinação das reduções de consumo energético é feita automaticamente.</t>
  </si>
  <si>
    <t>Auditorias, diagnósticos e avaliações, incluindo a avaliação ex-post, sujeitos a custos-padrão (DGEG)</t>
  </si>
  <si>
    <t>Medidas não identificadas na tabela dos custos-padrão, nomeadamente, outros trabalhos necessários à realização de investimentos, atualização de CE</t>
  </si>
  <si>
    <r>
      <t xml:space="preserve">Limite de dotação financeira
</t>
    </r>
    <r>
      <rPr>
        <sz val="10"/>
        <color theme="1"/>
        <rFont val="Calibri"/>
        <family val="2"/>
        <scheme val="minor"/>
      </rPr>
      <t>(Aplicar a taxa máxima de financiamento por POR, limitado ao valor previsto no Pacto para o Desenvolvimento e Coesão Territorial (PDCT) da respetiva Entidade Intermunicipal)</t>
    </r>
  </si>
  <si>
    <t>Consumo Estimado Anual  (tep):</t>
  </si>
  <si>
    <t>15. Valores-Padrão</t>
  </si>
  <si>
    <t>16. Fatores de Conversão</t>
  </si>
  <si>
    <t>Indicadores de resultado e de realização da operação</t>
  </si>
  <si>
    <t>Folha 15. "Valores-Padrão"</t>
  </si>
  <si>
    <t>Folha 16. "Fatores de Conversão"</t>
  </si>
  <si>
    <t>- As folhas 1., 12. a 14.</t>
  </si>
  <si>
    <r>
      <t xml:space="preserve">Não altere a estrutura desta ferramenta de cálculo: </t>
    </r>
    <r>
      <rPr>
        <b/>
        <sz val="10"/>
        <color rgb="FF0070C0"/>
        <rFont val="Arial"/>
        <family val="2"/>
      </rPr>
      <t xml:space="preserve">não elimine folhas nem altere a formatação dos campos destinados ao preenchimento do beneficiário.  </t>
    </r>
  </si>
  <si>
    <t>Designação</t>
  </si>
  <si>
    <t>Característica dos elementos</t>
  </si>
  <si>
    <r>
      <t>Característica dos elementos [m</t>
    </r>
    <r>
      <rPr>
        <b/>
        <vertAlign val="superscript"/>
        <sz val="10"/>
        <color rgb="FFFFFFFF"/>
        <rFont val="Calibri"/>
        <family val="2"/>
        <scheme val="minor"/>
      </rPr>
      <t>2</t>
    </r>
    <r>
      <rPr>
        <b/>
        <sz val="10"/>
        <color rgb="FFFFFFFF"/>
        <rFont val="Calibri"/>
        <family val="2"/>
        <scheme val="minor"/>
      </rPr>
      <t>]</t>
    </r>
  </si>
  <si>
    <t>Indicadores</t>
  </si>
  <si>
    <t>Dados da Candidatura</t>
  </si>
  <si>
    <t>Data Conclusão da Operação:</t>
  </si>
  <si>
    <t>Dados da Operação</t>
  </si>
  <si>
    <t>Modalidade de apoio</t>
  </si>
  <si>
    <t>reembolsável</t>
  </si>
  <si>
    <t>não reembolsável</t>
  </si>
  <si>
    <t>Idade do edifício:</t>
  </si>
  <si>
    <t>Classificação ou em vias de classificação:</t>
  </si>
  <si>
    <t>Classificação do edifício</t>
  </si>
  <si>
    <t>Interesse público</t>
  </si>
  <si>
    <t>Interesse municipal</t>
  </si>
  <si>
    <t>Majoração prevista na alínea c) do ponto 8.3.1. do Aviso</t>
  </si>
  <si>
    <t>Majoração prevista na alínea a) do ponto 8.3.1. do Aviso</t>
  </si>
  <si>
    <t>Majoração prevista na alínea b) 1º§ do ponto 8.3.1. do Aviso</t>
  </si>
  <si>
    <t>Majoração prevista na alínea b) 2º§ do ponto 8.3.1. do Aviso</t>
  </si>
  <si>
    <t>Majoração prevista na alínea b) 3º§ do ponto 8.3.1. do Aviso</t>
  </si>
  <si>
    <t>Folha 12.1 e12.2 "Apoio reembolsável e não reembolsável"</t>
  </si>
  <si>
    <t>Obs: As intervenções que resultem numa grande intervenção devem obter, no minimo, classe C</t>
  </si>
  <si>
    <t>Estudo Viabilidade Económica (meramente indicativo)</t>
  </si>
  <si>
    <t>ELEGIBILIDADE DA OPERAÇÃO</t>
  </si>
  <si>
    <t>Redução no consumo de energia primária</t>
  </si>
  <si>
    <t>Elegibilidade do Projeto</t>
  </si>
  <si>
    <t>12.1 Apoio reembolsável e Elegibilidade do projeto</t>
  </si>
  <si>
    <t>12.2 Apoio não reembolsável e Elegibilidade do projeto</t>
  </si>
  <si>
    <t>Taxa base + Somatório das majorações</t>
  </si>
  <si>
    <t>13. Indicadores</t>
  </si>
  <si>
    <t>14. VAL Global até 25 anos (informativo)</t>
  </si>
  <si>
    <t>Folha 13"Indicadores"</t>
  </si>
  <si>
    <t>Folha 14. "VAL Global até 25 anos"</t>
  </si>
  <si>
    <t>Código Universal de Candidatura (atribuído pelo Balcão 2020 após submissão)</t>
  </si>
  <si>
    <t>Forma de apoio:</t>
  </si>
  <si>
    <t>Código Universal da Candidatura:</t>
  </si>
  <si>
    <t xml:space="preserve">Escolha da forma de apoio (a preencher após simulação da ferramenta de cálculo) </t>
  </si>
  <si>
    <t>Idade do Edifício</t>
  </si>
  <si>
    <t>Inferior a 40 anos</t>
  </si>
  <si>
    <t>O presente instrumento de trabalho é composto por 11 folhas para preenchimento do beneficiário:</t>
  </si>
  <si>
    <t>Localização nas folhas de preenchimento da Ferramenta de Cálculo</t>
  </si>
  <si>
    <t>Consumo estimado [kWh] (preenchimento opcional)</t>
  </si>
  <si>
    <t>Limite de apoio por projeto (se aplicável no Aviso)</t>
  </si>
  <si>
    <t>Taxa máxima do Aviso</t>
  </si>
  <si>
    <t>POR Alentejo</t>
  </si>
  <si>
    <t>Investimento Total Elegivel após art. 61.º do Reg. (UE) n.º 1303/2013
(Projetos superiores a 1M€)</t>
  </si>
  <si>
    <t>Taxa base de financiamento (I.T.E. &lt; 1 milhão de euros)</t>
  </si>
  <si>
    <t>POR Norte</t>
  </si>
  <si>
    <t xml:space="preserve"> </t>
  </si>
  <si>
    <t>Taxa de atualização</t>
  </si>
  <si>
    <t>Acumulado atualizado</t>
  </si>
  <si>
    <t>Taxas máximas Não Reemb Superior 1 M€</t>
  </si>
  <si>
    <t>Interesse nacional</t>
  </si>
  <si>
    <t>Anual atualizado</t>
  </si>
  <si>
    <t>Superior a 40 anos</t>
  </si>
  <si>
    <t>Taxa máxima de financiamento para projetos superiores a 1M€ e Medidas d)</t>
  </si>
  <si>
    <t>Taxa máxima de financiamento para projetos inferiores a 1M€ (exceto Medidas d)</t>
  </si>
  <si>
    <r>
      <t>4 - Apoio à eficiência energética, à gestão inteligente da energia e à utilização das energias renováveis nas infraestruturas públicas da Administração Local</t>
    </r>
    <r>
      <rPr>
        <b/>
        <sz val="9"/>
        <color theme="1"/>
        <rFont val="Calibri"/>
        <family val="2"/>
        <scheme val="minor"/>
      </rPr>
      <t/>
    </r>
  </si>
  <si>
    <t>Medida identificada no cenário final (CE ou diagnóstico/estudo)</t>
  </si>
  <si>
    <t>Outras despesas incluídas no art.º 7º do Regulamento SEUR</t>
  </si>
  <si>
    <t>Investimento Total [Outras Despesas]</t>
  </si>
  <si>
    <t>Despesa Total Elegivel [Outras Despesas]</t>
  </si>
  <si>
    <t>Despesa Nº</t>
  </si>
  <si>
    <t>Descrição detalhada da despesa elegível</t>
  </si>
  <si>
    <t>Identificação das despesas:</t>
  </si>
  <si>
    <t>Descrição geral da despesa</t>
  </si>
  <si>
    <t>Obs: Somatório de todas as restantes despesas elegíveis, apuradas na Folha 11."Outras despesas art. 7º", além das já incluidas nas medidas a), b), c) e d) necessárias à execução da operação (ex.: actividades preparatórias, assessorias, licenciamentos, fiscalização/acompanhamento da obra, entre outras).</t>
  </si>
  <si>
    <t>Custo de Investimento em auditorias energeticas e outras despesas não tipificadas nas Folhas 2. a 9.</t>
  </si>
  <si>
    <t>Investimento Total [Medidas c)]</t>
  </si>
  <si>
    <t>Despesa Total Elegivel [Medidas c)]</t>
  </si>
  <si>
    <t>d) Auditorias, estudos, diagnósticos e análises energéticas necessários à realização dos investimentos, e à implementação de Planos de Ação de eficiência energética bem como a avaliação «ex-post» independente que permita a avaliação e o acompanhamento do desempenho e da eficiência energética do investimento;</t>
  </si>
  <si>
    <t>Investimento Total [Medida d)]</t>
  </si>
  <si>
    <t>Despesa Total Elegivel [Medida d)]</t>
  </si>
  <si>
    <r>
      <t>kWh</t>
    </r>
    <r>
      <rPr>
        <vertAlign val="subscript"/>
        <sz val="9.5"/>
        <color theme="1"/>
        <rFont val="Calibri"/>
        <family val="2"/>
        <scheme val="minor"/>
      </rPr>
      <t>EP</t>
    </r>
    <r>
      <rPr>
        <sz val="9.5"/>
        <color theme="1"/>
        <rFont val="Calibri"/>
        <family val="2"/>
        <scheme val="minor"/>
      </rPr>
      <t>/ano</t>
    </r>
  </si>
  <si>
    <t>Dados do PQ responsável pela elaboração do Diagnóstico Energético</t>
  </si>
  <si>
    <r>
      <t xml:space="preserve">Investimento Total 
</t>
    </r>
    <r>
      <rPr>
        <b/>
        <i/>
        <sz val="10"/>
        <color theme="1"/>
        <rFont val="Calibri"/>
        <family val="2"/>
        <scheme val="minor"/>
      </rPr>
      <t>(medidas a), b), c) , d) e outras despesas)</t>
    </r>
  </si>
  <si>
    <t>Dados do técnico responsável pela elaboração do Diagnóstico Energético</t>
  </si>
  <si>
    <t>Nome do técnico:</t>
  </si>
  <si>
    <t>Dados da Infraestrutura</t>
  </si>
  <si>
    <t>Cenário Atual (diagnóstico/estudo)</t>
  </si>
  <si>
    <t>Consumo Anual  (tep):</t>
  </si>
  <si>
    <t>Custos Anuais [€/ano]:</t>
  </si>
  <si>
    <r>
      <t>Consumo Anual Total Energia Primária (kWh</t>
    </r>
    <r>
      <rPr>
        <vertAlign val="subscript"/>
        <sz val="11"/>
        <color theme="1"/>
        <rFont val="Calibri"/>
        <family val="2"/>
        <scheme val="minor"/>
      </rPr>
      <t>EP</t>
    </r>
    <r>
      <rPr>
        <sz val="11"/>
        <color theme="1"/>
        <rFont val="Calibri"/>
        <family val="2"/>
        <scheme val="minor"/>
      </rPr>
      <t>):</t>
    </r>
  </si>
  <si>
    <t>Consumo Anual Total Energia Final (kWh):</t>
  </si>
  <si>
    <t>Consumo [kWh]</t>
  </si>
  <si>
    <r>
      <t xml:space="preserve">Restantes medidas não identificadas na tabela dos custos-padrão por tecnologia (DGEG) - </t>
    </r>
    <r>
      <rPr>
        <b/>
        <u/>
        <sz val="9"/>
        <color theme="1"/>
        <rFont val="Calibri"/>
        <family val="2"/>
        <scheme val="minor"/>
      </rPr>
      <t>Excluindo</t>
    </r>
    <r>
      <rPr>
        <b/>
        <sz val="9"/>
        <color theme="1"/>
        <rFont val="Calibri"/>
        <family val="2"/>
        <scheme val="minor"/>
      </rPr>
      <t xml:space="preserve"> medidas de energia renovável (Biomassa)</t>
    </r>
  </si>
  <si>
    <r>
      <t xml:space="preserve">Restantes medidas não identificadas na tabela dos custos-padrão por tecnologia (DGEG) - </t>
    </r>
    <r>
      <rPr>
        <b/>
        <u/>
        <sz val="9"/>
        <color theme="1"/>
        <rFont val="Calibri"/>
        <family val="2"/>
        <scheme val="minor"/>
      </rPr>
      <t>Exclusivo</t>
    </r>
    <r>
      <rPr>
        <b/>
        <sz val="9"/>
        <color theme="1"/>
        <rFont val="Calibri"/>
        <family val="2"/>
        <scheme val="minor"/>
      </rPr>
      <t xml:space="preserve"> para medidas de energia renovável (Biomassa)</t>
    </r>
  </si>
  <si>
    <r>
      <t>Área total a remover [m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]</t>
    </r>
  </si>
  <si>
    <r>
      <t xml:space="preserve">Intervenções que impliquem a remoção de amianto: desagregação dos custos </t>
    </r>
    <r>
      <rPr>
        <b/>
        <u/>
        <sz val="9"/>
        <color theme="1"/>
        <rFont val="Calibri"/>
        <family val="2"/>
        <scheme val="minor"/>
      </rPr>
      <t>exclusivamente</t>
    </r>
    <r>
      <rPr>
        <b/>
        <sz val="9"/>
        <color theme="1"/>
        <rFont val="Calibri"/>
        <family val="2"/>
        <scheme val="minor"/>
      </rPr>
      <t xml:space="preserve"> relacionadas com a sua remoção, tratamento e destino final</t>
    </r>
  </si>
  <si>
    <t>Consumos Estimados Anuais (kWh):</t>
  </si>
  <si>
    <t>Total Energia Final (kWh):</t>
  </si>
  <si>
    <r>
      <t>Total Energia Primária (kWh</t>
    </r>
    <r>
      <rPr>
        <vertAlign val="subscript"/>
        <sz val="11"/>
        <color theme="1"/>
        <rFont val="Calibri"/>
        <family val="2"/>
        <scheme val="minor"/>
      </rPr>
      <t>EP</t>
    </r>
    <r>
      <rPr>
        <sz val="11"/>
        <color theme="1"/>
        <rFont val="Calibri"/>
        <family val="2"/>
        <scheme val="minor"/>
      </rPr>
      <t>):</t>
    </r>
  </si>
  <si>
    <t>4.3. - Apoio à eficiência energética, à gestão inteligente da energia e à utilização das energias renováveis nas infraestruturas públicas, nomeadamente nos edifícios públicos e no setor da habitação.</t>
  </si>
  <si>
    <t>Diagnóstico Energético (nota: não preencher informações relativas às 9. Medidas c))</t>
  </si>
  <si>
    <t>Diagnóstico Energético da Intervenção nos sistemas de Iluminação Pública, sistemas semafóricos e sistemas de iluminação decorativa (9. Medidas c))</t>
  </si>
  <si>
    <t>Proposta de Medidas de Melhoria do Desempenho Energético identificadas no Certificado Energético (incluindo medidas previstas no relatório de auditoria energética do Perito Qualificado)</t>
  </si>
  <si>
    <t>Medida de melhoria de desempenho energético incluída na avaliação do cenário final do CE?</t>
  </si>
  <si>
    <t>Aumento do desempenho energético dos edifícios públicos pela introdução de fontes renováveis nos edifícios públicos</t>
  </si>
  <si>
    <t>Aumento do desempenho energético dos edifícios públicos pela implementação de medidas de eficiência energética</t>
  </si>
  <si>
    <r>
      <rPr>
        <b/>
        <i/>
        <sz val="11"/>
        <color theme="1"/>
        <rFont val="Calibri"/>
        <family val="2"/>
        <scheme val="minor"/>
      </rPr>
      <t>Mínimo de redução em 30% no consumo de energia primária:</t>
    </r>
    <r>
      <rPr>
        <i/>
        <sz val="11"/>
        <color theme="1"/>
        <rFont val="Calibri"/>
        <family val="2"/>
        <scheme val="minor"/>
      </rPr>
      <t xml:space="preserve"> deverá ser entendido como o aumento mínimo de 30% do desempenho energético do edifício, tal como previsto no âmbito das orientações que acompanham o Regulamento Delegado (UE) n.º 244/2012 da Comissão, de 16 de janeiro de 2012, que complementa a Diretiva 2010/31/UE do Parlamento Europeu e do Conselho relativa ao desempenho energético dos edifícios.</t>
    </r>
  </si>
  <si>
    <t>Certificação Energética (CE)</t>
  </si>
  <si>
    <t>Cenário Atual (informação do CE)</t>
  </si>
  <si>
    <t>Descrição da medida de melhoria do desempenho energético (conforme consta no CE ou relatório de auditoria energética)</t>
  </si>
  <si>
    <t>Investimento Total</t>
  </si>
  <si>
    <r>
      <rPr>
        <b/>
        <sz val="10"/>
        <rFont val="Arial"/>
        <family val="2"/>
      </rPr>
      <t xml:space="preserve">Ferramenta auxiliar de cálculo do investimento elegível, poupanças líquidas e período de reembolso da subvenção reembolsável
</t>
    </r>
    <r>
      <rPr>
        <b/>
        <sz val="10"/>
        <color rgb="FF0070C0"/>
        <rFont val="Arial"/>
        <family val="2"/>
      </rPr>
      <t>Simulador de cálculo da subvenção reembolsável / não reembolsável (através do preenchimento dos campos a amarelo)</t>
    </r>
    <r>
      <rPr>
        <b/>
        <sz val="10"/>
        <rFont val="Arial"/>
        <family val="2"/>
      </rPr>
      <t xml:space="preserve">
 </t>
    </r>
    <r>
      <rPr>
        <b/>
        <u/>
        <sz val="10"/>
        <rFont val="Arial"/>
        <family val="2"/>
      </rPr>
      <t xml:space="preserve">Ajuda ao Preenchimento
</t>
    </r>
    <r>
      <rPr>
        <sz val="10"/>
        <color rgb="FF7030A0"/>
        <rFont val="Arial"/>
        <family val="2"/>
      </rPr>
      <t>(7ª versão - alterada em 21 de maio de 2018)</t>
    </r>
  </si>
  <si>
    <t>Identificação do beneficiário e operação</t>
  </si>
  <si>
    <t>Conforme aplicável, preenchimento das informações relativas ao diagnóstico energético nos edifícios/infraestruturas ou Iluminação Pública (IP)</t>
  </si>
  <si>
    <t>Quando aplicável, preenchimento das medidas de Melhoria Identificadas no CE ou relatório de auditoria energética (excluindo a IP)</t>
  </si>
  <si>
    <t>Vida útil de cada medida</t>
  </si>
  <si>
    <t>Cálculo do VAL e TIR do projeto (preenchimento automático), para efeitos meramente informativos</t>
  </si>
  <si>
    <t>Apuramento automático da elegibilidade do projeto (poupanças em energia primária iguais ou superiores a 30%)</t>
  </si>
  <si>
    <t>Despesas Elegiveis em medidas de eficiencia energetica, auditorias e outras despesas (preenchimento automático)</t>
  </si>
  <si>
    <t>Indicação do PO Regional e limite de apoio do projeto (se aplicável)</t>
  </si>
  <si>
    <r>
      <t xml:space="preserve">Importante: </t>
    </r>
    <r>
      <rPr>
        <sz val="10"/>
        <color theme="1"/>
        <rFont val="Arial"/>
        <family val="2"/>
      </rPr>
      <t>Na presente ferramenta auxiliar de cálculo, apenas estão disponíveis para edição e preenchimento por parte do candidato, e na medida do aplicável, as células destacadas com a seguinte cor (amarelo claro):</t>
    </r>
  </si>
  <si>
    <t>Consumo de Energia Primária
[tep/ano]</t>
  </si>
  <si>
    <t>Redução de Energia primária
[tep/ano]</t>
  </si>
  <si>
    <t>% Redução</t>
  </si>
  <si>
    <t>Emissões de CO2
[ton/ano]</t>
  </si>
  <si>
    <t>Redução de emissões de CO2
[ton/ano]</t>
  </si>
  <si>
    <t>Investimento
[€]</t>
  </si>
  <si>
    <t>Poupança
[tep/ano]</t>
  </si>
  <si>
    <t>€/tep</t>
  </si>
  <si>
    <t>Total Despesas Elegiveis
[medidas a), b), c) e d)]</t>
  </si>
  <si>
    <t>Outras Despesas Elegiveis 
(caso aplicável)</t>
  </si>
  <si>
    <t>TOTAL Investimento Elegível</t>
  </si>
  <si>
    <t>Critérios de seleção / Valorização</t>
  </si>
  <si>
    <t>Mérito do projeto</t>
  </si>
  <si>
    <t>Mp</t>
  </si>
  <si>
    <r>
      <t xml:space="preserve">Contributo para a redução das emissões de CO2 
</t>
    </r>
    <r>
      <rPr>
        <sz val="9"/>
        <rFont val="Calibri Light"/>
        <family val="2"/>
      </rPr>
      <t>(calculado base ton CO2)</t>
    </r>
    <r>
      <rPr>
        <b/>
        <sz val="9"/>
        <rFont val="Calibri Light"/>
        <family val="2"/>
      </rPr>
      <t xml:space="preserve"> </t>
    </r>
    <r>
      <rPr>
        <sz val="9"/>
        <rFont val="Calibri Light"/>
        <family val="2"/>
      </rPr>
      <t>avaliado através da redução de emissões anuais de CO2 associadas ao resultado da intervenção</t>
    </r>
  </si>
  <si>
    <r>
      <t xml:space="preserve">Racionalidade económica das ações previstas na operação 
</t>
    </r>
    <r>
      <rPr>
        <sz val="9"/>
        <rFont val="Calibri Light"/>
        <family val="2"/>
      </rPr>
      <t>avaliada através do rácio entre o investimento (€) e a redução de consumo (tep) decorrente da implementação da operação</t>
    </r>
  </si>
  <si>
    <r>
      <rPr>
        <b/>
        <sz val="9"/>
        <rFont val="Calibri Light"/>
        <family val="2"/>
      </rPr>
      <t>Instalação de sistemas de produção de energia para autoconsumo a partir de fontes renováveis</t>
    </r>
    <r>
      <rPr>
        <sz val="9"/>
        <rFont val="Calibri Light"/>
        <family val="2"/>
      </rPr>
      <t xml:space="preserve"> 
(para além de ações de eficiência energética, a operação prevê ainda a instalação de sistemas de produção de energia para autoconsumo a partir de fontes renováveis)</t>
    </r>
  </si>
  <si>
    <t>Critérios de Seleção</t>
  </si>
  <si>
    <r>
      <t>MP = 0,25</t>
    </r>
    <r>
      <rPr>
        <b/>
        <sz val="8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A1 + 0,20</t>
    </r>
    <r>
      <rPr>
        <b/>
        <sz val="8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B1 + 0,30</t>
    </r>
    <r>
      <rPr>
        <b/>
        <sz val="8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C1 + 0,05</t>
    </r>
    <r>
      <rPr>
        <b/>
        <sz val="8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C2 + 0,20</t>
    </r>
    <r>
      <rPr>
        <b/>
        <sz val="8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C3</t>
    </r>
  </si>
  <si>
    <t>A1</t>
  </si>
  <si>
    <t>B1</t>
  </si>
  <si>
    <t>C1</t>
  </si>
  <si>
    <t>C2</t>
  </si>
  <si>
    <t>C3</t>
  </si>
  <si>
    <t>Quando as ações previstas na operação têm um fraco potencial de redução de energia primária (reduções inferiores a 10%)</t>
  </si>
  <si>
    <t>Quando as ações previstas na operação têm um médio potencial de redução de energia primária (reduções entre 10% e 30%)</t>
  </si>
  <si>
    <t>Quando as ações previstas na operação têm um elevado potencial de redução de energia primária (reduções maiores ou iguais que 30%)</t>
  </si>
  <si>
    <r>
      <t xml:space="preserve">Contributo para os objetivos específicos e para as metas fixadas nos indicadores de resultado definidos para a PI no PO
</t>
    </r>
    <r>
      <rPr>
        <sz val="9"/>
        <rFont val="Calibri Light"/>
        <family val="2"/>
      </rPr>
      <t>avaliado através da redução do consumo de energia primária na operação objeto da intervenção (%)</t>
    </r>
  </si>
  <si>
    <t>Quando  as ações previstas na operação têm um elevado potencial de redução de emissões de CO2 (reduções maiores que 10%)</t>
  </si>
  <si>
    <t>Quando  as ações previstas na operação têm um médio potencial de redução de emissões de CO2 (reduções entre 3% e 10%)</t>
  </si>
  <si>
    <t>Quando  as ações previstas na operação têm um fraco potencial de redução de emissões de CO2 (reduções menores que 3%)</t>
  </si>
  <si>
    <t>Muito Reduzida - Quando o rácio entre o investimento (€) e a redução de consumo (tep) decorrente da implementação da operação, é superior a 12.000 (€/tep)</t>
  </si>
  <si>
    <t>Referencial de pontuação</t>
  </si>
  <si>
    <r>
      <t xml:space="preserve">Desempenho energético do edifício superior a dois níveis no certificado de desempenho energético dos edifícios
</t>
    </r>
    <r>
      <rPr>
        <sz val="9"/>
        <rFont val="Calibri Light"/>
        <family val="2"/>
      </rPr>
      <t>avaliado através do aumento dos níveis de desempenho energético no certificado energético dos edifícios</t>
    </r>
  </si>
  <si>
    <t>A operação prevê a instalação de sistemas de produção de energia</t>
  </si>
  <si>
    <t>A operação não prevê a instalação de sistemas de produção de energia</t>
  </si>
  <si>
    <t>As intervenções cuja conceção/requalificação permita a obtenção mínima da Classe Energética A</t>
  </si>
  <si>
    <t>As intervenções cuja conceção/requalificação permita a melhoria da eficiência energética do edifício em pelo menos duas classes energéticas</t>
  </si>
  <si>
    <t>Todas as intervenções que não demonstrem os resultados especificados nas anteriores categorias</t>
  </si>
  <si>
    <t>A operação prevê a instalação de sistemas de produção de energia 
a partir de fontes renováveis?</t>
  </si>
  <si>
    <t>Subida de classes energética</t>
  </si>
  <si>
    <t>Classe energética final</t>
  </si>
  <si>
    <t>Apoio</t>
  </si>
  <si>
    <r>
      <t>MP = 0,30</t>
    </r>
    <r>
      <rPr>
        <b/>
        <sz val="8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A1 + 0,30</t>
    </r>
    <r>
      <rPr>
        <b/>
        <sz val="8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B1 + 0,35</t>
    </r>
    <r>
      <rPr>
        <b/>
        <sz val="8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C1 + 0,05</t>
    </r>
    <r>
      <rPr>
        <b/>
        <sz val="8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C2</t>
    </r>
  </si>
  <si>
    <r>
      <rPr>
        <sz val="9"/>
        <rFont val="Calibri Light"/>
        <family val="2"/>
      </rPr>
      <t>Muito Elevada</t>
    </r>
    <r>
      <rPr>
        <b/>
        <sz val="9"/>
        <rFont val="Calibri Light"/>
        <family val="2"/>
      </rPr>
      <t xml:space="preserve"> - </t>
    </r>
    <r>
      <rPr>
        <sz val="9"/>
        <rFont val="Calibri Light"/>
        <family val="2"/>
      </rPr>
      <t>Quando o rácio entre o investimento (€) e a redução de consumo (tep) decorrente da implementação da operação, é igual ou inferior a 3.000 (€/tep)</t>
    </r>
  </si>
  <si>
    <r>
      <rPr>
        <sz val="9"/>
        <rFont val="Calibri Light"/>
        <family val="2"/>
      </rPr>
      <t>Média</t>
    </r>
    <r>
      <rPr>
        <b/>
        <sz val="9"/>
        <rFont val="Calibri Light"/>
        <family val="2"/>
      </rPr>
      <t xml:space="preserve"> </t>
    </r>
    <r>
      <rPr>
        <sz val="9"/>
        <rFont val="Calibri Light"/>
        <family val="2"/>
      </rPr>
      <t>- Quando o rácio entre o investimento (€) e a redução de consumo (tep) decorrente da implementação da operação, se encontra entre 3.001 (€/tep) e 12.000 (€/tep)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</si>
</sst>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#,##0\ &quot;€&quot;;[Red]\-#,##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&quot;€&quot;_-;\-* #,##0\ &quot;€&quot;_-;_-* &quot;-&quot;??\ &quot;€&quot;_-;_-@_-"/>
    <numFmt numFmtId="166" formatCode="_-[$€-2]\ * #,##0.00_-;\-[$€-2]\ * #,##0.00_-;_-[$€-2]\ * &quot;-&quot;??_-;_-@_-"/>
    <numFmt numFmtId="167" formatCode="#,##0.00\ &quot;€&quot;"/>
    <numFmt numFmtId="168" formatCode="#,##0.0"/>
    <numFmt numFmtId="169" formatCode="0.0"/>
    <numFmt numFmtId="170" formatCode="0.000"/>
    <numFmt numFmtId="171" formatCode="0.0000"/>
    <numFmt numFmtId="172" formatCode="0.000000"/>
    <numFmt numFmtId="173" formatCode="#,##0.00_ ;\-#,##0.00\ "/>
    <numFmt numFmtId="174" formatCode="#,##0\ &quot;€&quot;"/>
    <numFmt numFmtId="175" formatCode="#,##0.0\ &quot;€&quot;"/>
  </numFmts>
  <fonts count="8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vertAlign val="superscript"/>
      <sz val="10"/>
      <color indexed="8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8"/>
      <name val="Calibri"/>
      <family val="2"/>
    </font>
    <font>
      <sz val="11"/>
      <color theme="8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vertAlign val="subscript"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sz val="9.5"/>
      <name val="Calibri"/>
      <family val="2"/>
      <scheme val="minor"/>
    </font>
    <font>
      <i/>
      <sz val="9.5"/>
      <name val="Calibri"/>
      <family val="2"/>
      <scheme val="minor"/>
    </font>
    <font>
      <b/>
      <sz val="9.5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8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u/>
      <sz val="10"/>
      <name val="Arial"/>
      <family val="2"/>
    </font>
    <font>
      <b/>
      <sz val="11"/>
      <color rgb="FFFF0000"/>
      <name val="Calibri"/>
      <family val="2"/>
      <scheme val="minor"/>
    </font>
    <font>
      <vertAlign val="subscript"/>
      <sz val="9.5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 Light"/>
      <family val="2"/>
    </font>
    <font>
      <b/>
      <i/>
      <sz val="14"/>
      <color indexed="63"/>
      <name val="Calibri Light"/>
      <family val="2"/>
    </font>
    <font>
      <b/>
      <sz val="9"/>
      <color indexed="63"/>
      <name val="Calibri Light"/>
      <family val="2"/>
    </font>
    <font>
      <sz val="9"/>
      <color indexed="63"/>
      <name val="Calibri Light"/>
      <family val="2"/>
    </font>
    <font>
      <sz val="9"/>
      <name val="Calibri Light"/>
      <family val="2"/>
    </font>
    <font>
      <b/>
      <sz val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" fillId="0" borderId="0"/>
  </cellStyleXfs>
  <cellXfs count="1284">
    <xf numFmtId="0" fontId="0" fillId="0" borderId="0" xfId="0"/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left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top" wrapText="1"/>
      <protection hidden="1"/>
    </xf>
    <xf numFmtId="0" fontId="12" fillId="0" borderId="0" xfId="0" applyFont="1" applyBorder="1" applyAlignment="1" applyProtection="1">
      <alignment horizontal="right" vertical="center" wrapText="1"/>
      <protection hidden="1"/>
    </xf>
    <xf numFmtId="0" fontId="13" fillId="0" borderId="0" xfId="0" applyFont="1" applyBorder="1" applyAlignment="1" applyProtection="1">
      <alignment horizontal="right" vertical="center" wrapText="1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left" vertical="center"/>
      <protection hidden="1"/>
    </xf>
    <xf numFmtId="0" fontId="20" fillId="0" borderId="15" xfId="0" applyFont="1" applyBorder="1" applyAlignment="1" applyProtection="1">
      <alignment horizontal="center" vertical="center"/>
      <protection hidden="1"/>
    </xf>
    <xf numFmtId="0" fontId="0" fillId="0" borderId="19" xfId="0" applyFill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21" xfId="0" applyBorder="1" applyProtection="1">
      <protection hidden="1"/>
    </xf>
    <xf numFmtId="0" fontId="0" fillId="0" borderId="23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Border="1" applyProtection="1"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169" fontId="0" fillId="0" borderId="3" xfId="0" applyNumberFormat="1" applyBorder="1" applyAlignment="1" applyProtection="1">
      <alignment horizontal="center" vertical="center"/>
      <protection hidden="1"/>
    </xf>
    <xf numFmtId="170" fontId="0" fillId="0" borderId="3" xfId="0" applyNumberFormat="1" applyBorder="1" applyAlignment="1" applyProtection="1">
      <alignment horizontal="center" vertical="center"/>
      <protection hidden="1"/>
    </xf>
    <xf numFmtId="171" fontId="0" fillId="0" borderId="3" xfId="0" applyNumberFormat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7" fillId="0" borderId="0" xfId="0" applyFont="1" applyFill="1" applyAlignment="1" applyProtection="1">
      <protection hidden="1"/>
    </xf>
    <xf numFmtId="0" fontId="0" fillId="0" borderId="0" xfId="0" applyAlignment="1" applyProtection="1">
      <alignment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171" fontId="0" fillId="0" borderId="0" xfId="0" applyNumberForma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5" xfId="0" applyBorder="1" applyProtection="1"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8" fillId="0" borderId="15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20" borderId="47" xfId="0" applyFont="1" applyFill="1" applyBorder="1" applyAlignment="1" applyProtection="1">
      <alignment horizontal="center" vertical="center" wrapText="1"/>
      <protection hidden="1"/>
    </xf>
    <xf numFmtId="0" fontId="8" fillId="20" borderId="44" xfId="0" applyFont="1" applyFill="1" applyBorder="1" applyAlignment="1" applyProtection="1">
      <alignment horizontal="center" vertical="center" wrapText="1"/>
      <protection hidden="1"/>
    </xf>
    <xf numFmtId="0" fontId="8" fillId="16" borderId="44" xfId="0" applyFont="1" applyFill="1" applyBorder="1" applyAlignment="1" applyProtection="1">
      <alignment horizontal="center" vertical="center" wrapText="1"/>
      <protection hidden="1"/>
    </xf>
    <xf numFmtId="0" fontId="8" fillId="2" borderId="44" xfId="0" applyFont="1" applyFill="1" applyBorder="1" applyAlignment="1" applyProtection="1">
      <alignment horizontal="center" vertical="center" wrapText="1"/>
      <protection hidden="1"/>
    </xf>
    <xf numFmtId="0" fontId="8" fillId="0" borderId="44" xfId="0" applyFont="1" applyFill="1" applyBorder="1" applyAlignment="1" applyProtection="1">
      <alignment horizontal="center" vertical="center" wrapText="1"/>
      <protection hidden="1"/>
    </xf>
    <xf numFmtId="0" fontId="8" fillId="0" borderId="39" xfId="0" applyFont="1" applyFill="1" applyBorder="1" applyAlignment="1" applyProtection="1">
      <alignment horizontal="center" vertical="center" wrapText="1"/>
      <protection hidden="1"/>
    </xf>
    <xf numFmtId="0" fontId="8" fillId="16" borderId="53" xfId="0" applyFont="1" applyFill="1" applyBorder="1" applyAlignment="1" applyProtection="1">
      <alignment horizontal="center" vertical="center" wrapText="1"/>
      <protection hidden="1"/>
    </xf>
    <xf numFmtId="0" fontId="8" fillId="0" borderId="59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27" fillId="0" borderId="11" xfId="0" applyFont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0" borderId="7" xfId="0" applyFont="1" applyFill="1" applyBorder="1" applyAlignment="1" applyProtection="1">
      <alignment horizontal="center" vertical="center" wrapText="1"/>
      <protection hidden="1"/>
    </xf>
    <xf numFmtId="0" fontId="8" fillId="20" borderId="11" xfId="0" applyFont="1" applyFill="1" applyBorder="1" applyAlignment="1" applyProtection="1">
      <alignment horizontal="center" vertical="center" wrapText="1"/>
      <protection hidden="1"/>
    </xf>
    <xf numFmtId="0" fontId="8" fillId="16" borderId="11" xfId="0" applyFont="1" applyFill="1" applyBorder="1" applyAlignment="1" applyProtection="1">
      <alignment horizontal="center" vertical="center" wrapText="1"/>
      <protection hidden="1"/>
    </xf>
    <xf numFmtId="0" fontId="8" fillId="2" borderId="32" xfId="0" applyFont="1" applyFill="1" applyBorder="1" applyAlignment="1" applyProtection="1">
      <alignment horizontal="center" vertical="center" wrapText="1"/>
      <protection hidden="1"/>
    </xf>
    <xf numFmtId="0" fontId="8" fillId="16" borderId="12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5" borderId="19" xfId="0" applyFont="1" applyFill="1" applyBorder="1" applyAlignment="1" applyProtection="1">
      <alignment vertical="center" wrapText="1"/>
      <protection hidden="1"/>
    </xf>
    <xf numFmtId="0" fontId="8" fillId="5" borderId="43" xfId="0" applyFont="1" applyFill="1" applyBorder="1" applyAlignment="1" applyProtection="1">
      <alignment vertical="center" wrapText="1"/>
      <protection hidden="1"/>
    </xf>
    <xf numFmtId="0" fontId="8" fillId="5" borderId="28" xfId="0" applyFont="1" applyFill="1" applyBorder="1" applyAlignment="1" applyProtection="1">
      <alignment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20" borderId="18" xfId="0" applyFill="1" applyBorder="1" applyAlignment="1" applyProtection="1">
      <alignment horizontal="center" vertical="center"/>
      <protection hidden="1"/>
    </xf>
    <xf numFmtId="3" fontId="0" fillId="20" borderId="3" xfId="0" applyNumberFormat="1" applyFill="1" applyBorder="1" applyAlignment="1" applyProtection="1">
      <alignment horizontal="center" vertical="center"/>
      <protection hidden="1"/>
    </xf>
    <xf numFmtId="4" fontId="0" fillId="20" borderId="3" xfId="0" applyNumberFormat="1" applyFill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8" fillId="5" borderId="46" xfId="0" applyFont="1" applyFill="1" applyBorder="1" applyAlignment="1" applyProtection="1">
      <alignment vertical="center" wrapText="1"/>
      <protection hidden="1"/>
    </xf>
    <xf numFmtId="0" fontId="0" fillId="0" borderId="24" xfId="0" applyBorder="1" applyAlignment="1" applyProtection="1">
      <alignment horizontal="center" vertical="center" wrapText="1"/>
      <protection hidden="1"/>
    </xf>
    <xf numFmtId="3" fontId="0" fillId="20" borderId="14" xfId="0" applyNumberForma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vertical="center"/>
      <protection hidden="1"/>
    </xf>
    <xf numFmtId="0" fontId="0" fillId="2" borderId="17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protection hidden="1"/>
    </xf>
    <xf numFmtId="0" fontId="0" fillId="0" borderId="5" xfId="0" applyBorder="1" applyAlignment="1" applyProtection="1">
      <protection hidden="1"/>
    </xf>
    <xf numFmtId="0" fontId="0" fillId="2" borderId="5" xfId="0" applyFill="1" applyBorder="1" applyAlignment="1" applyProtection="1">
      <protection hidden="1"/>
    </xf>
    <xf numFmtId="0" fontId="7" fillId="2" borderId="6" xfId="0" applyFont="1" applyFill="1" applyBorder="1" applyAlignment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7" fillId="2" borderId="26" xfId="0" applyFont="1" applyFill="1" applyBorder="1" applyAlignment="1" applyProtection="1">
      <alignment vertical="center" wrapText="1"/>
      <protection hidden="1"/>
    </xf>
    <xf numFmtId="0" fontId="0" fillId="2" borderId="1" xfId="0" applyFill="1" applyBorder="1" applyAlignment="1" applyProtection="1">
      <alignment wrapText="1"/>
      <protection hidden="1"/>
    </xf>
    <xf numFmtId="167" fontId="0" fillId="0" borderId="0" xfId="0" applyNumberFormat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167" fontId="0" fillId="3" borderId="26" xfId="0" applyNumberFormat="1" applyFill="1" applyBorder="1" applyAlignment="1" applyProtection="1">
      <protection hidden="1"/>
    </xf>
    <xf numFmtId="167" fontId="9" fillId="2" borderId="26" xfId="0" applyNumberFormat="1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protection hidden="1"/>
    </xf>
    <xf numFmtId="167" fontId="0" fillId="2" borderId="0" xfId="0" applyNumberFormat="1" applyFont="1" applyFill="1" applyBorder="1" applyAlignment="1" applyProtection="1">
      <alignment horizontal="right"/>
      <protection hidden="1"/>
    </xf>
    <xf numFmtId="0" fontId="7" fillId="2" borderId="0" xfId="0" applyFont="1" applyFill="1" applyBorder="1" applyAlignment="1" applyProtection="1">
      <alignment horizontal="center" wrapText="1"/>
      <protection hidden="1"/>
    </xf>
    <xf numFmtId="44" fontId="7" fillId="2" borderId="0" xfId="0" applyNumberFormat="1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right" wrapText="1"/>
      <protection hidden="1"/>
    </xf>
    <xf numFmtId="167" fontId="0" fillId="2" borderId="26" xfId="0" applyNumberFormat="1" applyFill="1" applyBorder="1" applyAlignment="1" applyProtection="1">
      <protection hidden="1"/>
    </xf>
    <xf numFmtId="4" fontId="0" fillId="2" borderId="26" xfId="0" applyNumberForma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7" fillId="2" borderId="15" xfId="0" applyFont="1" applyFill="1" applyBorder="1" applyAlignment="1" applyProtection="1">
      <protection hidden="1"/>
    </xf>
    <xf numFmtId="0" fontId="0" fillId="2" borderId="0" xfId="0" applyFont="1" applyFill="1" applyBorder="1" applyAlignment="1" applyProtection="1">
      <alignment horizontal="center" vertical="center"/>
      <protection hidden="1"/>
    </xf>
    <xf numFmtId="0" fontId="0" fillId="2" borderId="0" xfId="0" applyFont="1" applyFill="1" applyBorder="1" applyAlignment="1" applyProtection="1">
      <alignment horizontal="left" vertical="center"/>
      <protection hidden="1"/>
    </xf>
    <xf numFmtId="0" fontId="0" fillId="2" borderId="1" xfId="0" applyFont="1" applyFill="1" applyBorder="1" applyAlignment="1" applyProtection="1">
      <alignment horizontal="right" vertical="center" wrapText="1"/>
      <protection hidden="1"/>
    </xf>
    <xf numFmtId="2" fontId="0" fillId="2" borderId="0" xfId="0" applyNumberFormat="1" applyFont="1" applyFill="1" applyBorder="1" applyAlignment="1" applyProtection="1">
      <alignment horizontal="left"/>
      <protection hidden="1"/>
    </xf>
    <xf numFmtId="0" fontId="0" fillId="2" borderId="1" xfId="0" applyFont="1" applyFill="1" applyBorder="1" applyAlignment="1" applyProtection="1">
      <alignment horizontal="right"/>
      <protection hidden="1"/>
    </xf>
    <xf numFmtId="2" fontId="0" fillId="0" borderId="0" xfId="0" applyNumberFormat="1" applyFont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4" fontId="0" fillId="2" borderId="26" xfId="0" applyNumberFormat="1" applyFont="1" applyFill="1" applyBorder="1" applyAlignment="1" applyProtection="1">
      <protection hidden="1"/>
    </xf>
    <xf numFmtId="0" fontId="0" fillId="2" borderId="2" xfId="0" applyFill="1" applyBorder="1" applyAlignment="1" applyProtection="1">
      <protection hidden="1"/>
    </xf>
    <xf numFmtId="0" fontId="0" fillId="2" borderId="8" xfId="0" applyFill="1" applyBorder="1" applyAlignment="1" applyProtection="1">
      <protection hidden="1"/>
    </xf>
    <xf numFmtId="0" fontId="0" fillId="2" borderId="9" xfId="0" applyFill="1" applyBorder="1" applyAlignment="1" applyProtection="1">
      <protection hidden="1"/>
    </xf>
    <xf numFmtId="0" fontId="0" fillId="0" borderId="8" xfId="0" applyBorder="1" applyAlignment="1" applyProtection="1">
      <protection hidden="1"/>
    </xf>
    <xf numFmtId="0" fontId="0" fillId="0" borderId="9" xfId="0" applyBorder="1" applyAlignment="1" applyProtection="1">
      <protection hidden="1"/>
    </xf>
    <xf numFmtId="0" fontId="0" fillId="2" borderId="0" xfId="0" applyFill="1" applyBorder="1" applyAlignment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38" fillId="0" borderId="0" xfId="0" applyFont="1" applyBorder="1" applyAlignment="1" applyProtection="1">
      <alignment wrapText="1"/>
      <protection hidden="1"/>
    </xf>
    <xf numFmtId="0" fontId="0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8" fillId="0" borderId="41" xfId="0" applyFont="1" applyFill="1" applyBorder="1" applyAlignment="1" applyProtection="1">
      <alignment horizontal="center" vertical="center" wrapText="1"/>
      <protection hidden="1"/>
    </xf>
    <xf numFmtId="0" fontId="8" fillId="0" borderId="42" xfId="0" applyFont="1" applyBorder="1" applyAlignment="1" applyProtection="1">
      <alignment horizontal="center" vertical="center" wrapText="1"/>
      <protection hidden="1"/>
    </xf>
    <xf numFmtId="0" fontId="8" fillId="2" borderId="42" xfId="0" applyFont="1" applyFill="1" applyBorder="1" applyAlignment="1" applyProtection="1">
      <alignment horizontal="center" vertical="center" wrapText="1"/>
      <protection hidden="1"/>
    </xf>
    <xf numFmtId="0" fontId="8" fillId="20" borderId="60" xfId="0" applyFont="1" applyFill="1" applyBorder="1" applyAlignment="1" applyProtection="1">
      <alignment horizontal="center" vertical="center" wrapText="1"/>
      <protection hidden="1"/>
    </xf>
    <xf numFmtId="0" fontId="8" fillId="20" borderId="41" xfId="0" applyFont="1" applyFill="1" applyBorder="1" applyAlignment="1" applyProtection="1">
      <alignment horizontal="center" vertical="center" wrapText="1"/>
      <protection hidden="1"/>
    </xf>
    <xf numFmtId="0" fontId="8" fillId="20" borderId="42" xfId="0" applyFont="1" applyFill="1" applyBorder="1" applyAlignment="1" applyProtection="1">
      <alignment horizontal="center" vertical="center" wrapText="1"/>
      <protection hidden="1"/>
    </xf>
    <xf numFmtId="0" fontId="8" fillId="2" borderId="60" xfId="0" applyFont="1" applyFill="1" applyBorder="1" applyAlignment="1" applyProtection="1">
      <alignment horizontal="center" vertical="center" wrapText="1"/>
      <protection hidden="1"/>
    </xf>
    <xf numFmtId="0" fontId="8" fillId="0" borderId="41" xfId="0" applyFont="1" applyBorder="1" applyAlignment="1" applyProtection="1">
      <alignment horizontal="center" vertical="center" wrapText="1"/>
      <protection hidden="1"/>
    </xf>
    <xf numFmtId="0" fontId="8" fillId="0" borderId="42" xfId="0" applyFont="1" applyFill="1" applyBorder="1" applyAlignment="1" applyProtection="1">
      <alignment horizontal="center" vertical="center" wrapText="1"/>
      <protection hidden="1"/>
    </xf>
    <xf numFmtId="0" fontId="8" fillId="5" borderId="37" xfId="0" applyFont="1" applyFill="1" applyBorder="1" applyAlignment="1" applyProtection="1">
      <alignment vertical="center" wrapText="1"/>
      <protection hidden="1"/>
    </xf>
    <xf numFmtId="0" fontId="8" fillId="5" borderId="36" xfId="0" applyFont="1" applyFill="1" applyBorder="1" applyAlignment="1" applyProtection="1">
      <alignment vertical="center" wrapText="1"/>
      <protection hidden="1"/>
    </xf>
    <xf numFmtId="0" fontId="8" fillId="5" borderId="38" xfId="0" applyFont="1" applyFill="1" applyBorder="1" applyAlignment="1" applyProtection="1">
      <alignment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38" fillId="0" borderId="0" xfId="0" applyFont="1" applyBorder="1" applyAlignment="1" applyProtection="1">
      <alignment horizontal="center" wrapText="1"/>
      <protection hidden="1"/>
    </xf>
    <xf numFmtId="0" fontId="7" fillId="2" borderId="26" xfId="0" applyFont="1" applyFill="1" applyBorder="1" applyAlignment="1" applyProtection="1"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Alignment="1" applyProtection="1">
      <alignment horizontal="center" vertical="center" wrapText="1"/>
      <protection hidden="1"/>
    </xf>
    <xf numFmtId="0" fontId="38" fillId="0" borderId="1" xfId="0" applyFont="1" applyBorder="1" applyAlignment="1" applyProtection="1">
      <alignment wrapText="1"/>
      <protection hidden="1"/>
    </xf>
    <xf numFmtId="3" fontId="0" fillId="0" borderId="0" xfId="4" applyNumberFormat="1" applyFont="1" applyFill="1" applyBorder="1" applyAlignment="1" applyProtection="1">
      <alignment vertical="center"/>
      <protection hidden="1"/>
    </xf>
    <xf numFmtId="0" fontId="0" fillId="0" borderId="51" xfId="0" applyBorder="1" applyAlignment="1" applyProtection="1">
      <alignment horizontal="center" vertical="center" wrapText="1"/>
      <protection hidden="1"/>
    </xf>
    <xf numFmtId="0" fontId="0" fillId="0" borderId="54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44" fontId="0" fillId="0" borderId="0" xfId="0" applyNumberForma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0" fontId="1" fillId="0" borderId="26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protection hidden="1"/>
    </xf>
    <xf numFmtId="0" fontId="13" fillId="0" borderId="5" xfId="0" applyFont="1" applyBorder="1" applyAlignment="1" applyProtection="1">
      <protection hidden="1"/>
    </xf>
    <xf numFmtId="0" fontId="7" fillId="2" borderId="6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4" borderId="7" xfId="0" applyFill="1" applyBorder="1" applyAlignment="1" applyProtection="1">
      <alignment horizontal="center" wrapText="1"/>
      <protection hidden="1"/>
    </xf>
    <xf numFmtId="0" fontId="0" fillId="4" borderId="11" xfId="0" applyFill="1" applyBorder="1" applyAlignment="1" applyProtection="1">
      <alignment horizontal="center" wrapText="1"/>
      <protection hidden="1"/>
    </xf>
    <xf numFmtId="1" fontId="0" fillId="4" borderId="11" xfId="0" applyNumberFormat="1" applyFill="1" applyBorder="1" applyAlignment="1" applyProtection="1">
      <alignment horizontal="center" wrapText="1"/>
      <protection hidden="1"/>
    </xf>
    <xf numFmtId="0" fontId="0" fillId="4" borderId="12" xfId="0" applyFill="1" applyBorder="1" applyAlignment="1" applyProtection="1">
      <alignment horizontal="center" wrapText="1"/>
      <protection hidden="1"/>
    </xf>
    <xf numFmtId="0" fontId="0" fillId="4" borderId="32" xfId="0" applyFill="1" applyBorder="1" applyAlignment="1" applyProtection="1">
      <alignment horizontal="center" wrapText="1"/>
      <protection hidden="1"/>
    </xf>
    <xf numFmtId="0" fontId="0" fillId="2" borderId="31" xfId="0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7" fillId="5" borderId="0" xfId="0" applyFont="1" applyFill="1" applyBorder="1" applyAlignment="1" applyProtection="1">
      <alignment horizontal="left" vertical="center" wrapText="1"/>
      <protection hidden="1"/>
    </xf>
    <xf numFmtId="167" fontId="0" fillId="3" borderId="7" xfId="0" applyNumberFormat="1" applyFill="1" applyBorder="1" applyAlignment="1" applyProtection="1">
      <protection hidden="1"/>
    </xf>
    <xf numFmtId="167" fontId="9" fillId="2" borderId="31" xfId="0" applyNumberFormat="1" applyFont="1" applyFill="1" applyBorder="1" applyAlignment="1" applyProtection="1">
      <protection hidden="1"/>
    </xf>
    <xf numFmtId="1" fontId="38" fillId="0" borderId="0" xfId="0" applyNumberFormat="1" applyFont="1" applyAlignment="1" applyProtection="1">
      <alignment horizontal="center" vertical="center"/>
      <protection hidden="1"/>
    </xf>
    <xf numFmtId="167" fontId="0" fillId="3" borderId="7" xfId="0" quotePrefix="1" applyNumberFormat="1" applyFill="1" applyBorder="1" applyAlignment="1" applyProtection="1">
      <protection hidden="1"/>
    </xf>
    <xf numFmtId="167" fontId="9" fillId="2" borderId="6" xfId="0" applyNumberFormat="1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left" wrapText="1"/>
      <protection hidden="1"/>
    </xf>
    <xf numFmtId="167" fontId="36" fillId="16" borderId="2" xfId="0" applyNumberFormat="1" applyFont="1" applyFill="1" applyBorder="1" applyAlignment="1" applyProtection="1">
      <protection hidden="1"/>
    </xf>
    <xf numFmtId="0" fontId="12" fillId="0" borderId="1" xfId="0" applyFont="1" applyBorder="1" applyAlignment="1" applyProtection="1">
      <alignment horizontal="center" wrapText="1"/>
      <protection hidden="1"/>
    </xf>
    <xf numFmtId="0" fontId="13" fillId="2" borderId="0" xfId="0" applyFont="1" applyFill="1" applyBorder="1" applyAlignment="1" applyProtection="1">
      <alignment horizontal="left" wrapText="1"/>
      <protection hidden="1"/>
    </xf>
    <xf numFmtId="167" fontId="37" fillId="16" borderId="2" xfId="0" applyNumberFormat="1" applyFont="1" applyFill="1" applyBorder="1" applyAlignment="1" applyProtection="1">
      <protection hidden="1"/>
    </xf>
    <xf numFmtId="0" fontId="12" fillId="0" borderId="0" xfId="0" applyFont="1" applyAlignment="1" applyProtection="1"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167" fontId="36" fillId="16" borderId="2" xfId="0" applyNumberFormat="1" applyFont="1" applyFill="1" applyBorder="1" applyAlignment="1" applyProtection="1">
      <alignment horizontal="center" vertical="center"/>
      <protection hidden="1"/>
    </xf>
    <xf numFmtId="167" fontId="7" fillId="2" borderId="26" xfId="0" applyNumberFormat="1" applyFont="1" applyFill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167" fontId="37" fillId="16" borderId="2" xfId="0" applyNumberFormat="1" applyFont="1" applyFill="1" applyBorder="1" applyAlignment="1" applyProtection="1">
      <alignment horizontal="center" vertical="center"/>
      <protection hidden="1"/>
    </xf>
    <xf numFmtId="167" fontId="13" fillId="2" borderId="26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44" fontId="7" fillId="2" borderId="15" xfId="0" applyNumberFormat="1" applyFont="1" applyFill="1" applyBorder="1" applyAlignment="1" applyProtection="1">
      <protection hidden="1"/>
    </xf>
    <xf numFmtId="0" fontId="7" fillId="2" borderId="21" xfId="0" applyFont="1" applyFill="1" applyBorder="1" applyAlignment="1" applyProtection="1">
      <alignment horizontal="center"/>
      <protection hidden="1"/>
    </xf>
    <xf numFmtId="0" fontId="7" fillId="19" borderId="16" xfId="0" applyFont="1" applyFill="1" applyBorder="1" applyAlignment="1" applyProtection="1">
      <alignment horizontal="center" vertical="center" wrapText="1"/>
      <protection hidden="1"/>
    </xf>
    <xf numFmtId="0" fontId="7" fillId="9" borderId="26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167" fontId="0" fillId="0" borderId="0" xfId="0" applyNumberFormat="1" applyFill="1" applyBorder="1" applyAlignment="1" applyProtection="1">
      <protection hidden="1"/>
    </xf>
    <xf numFmtId="1" fontId="0" fillId="0" borderId="0" xfId="0" applyNumberFormat="1" applyFill="1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44" fontId="0" fillId="0" borderId="0" xfId="0" applyNumberFormat="1" applyFill="1" applyBorder="1" applyAlignment="1" applyProtection="1">
      <protection hidden="1"/>
    </xf>
    <xf numFmtId="44" fontId="0" fillId="0" borderId="0" xfId="0" applyNumberFormat="1" applyBorder="1" applyAlignment="1" applyProtection="1"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0" fillId="0" borderId="0" xfId="0" applyBorder="1" applyAlignment="1" applyProtection="1">
      <alignment horizontal="left" wrapText="1"/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0" borderId="4" xfId="0" applyFont="1" applyBorder="1" applyAlignment="1" applyProtection="1">
      <alignment vertical="center"/>
      <protection hidden="1"/>
    </xf>
    <xf numFmtId="0" fontId="17" fillId="0" borderId="5" xfId="0" applyFont="1" applyBorder="1" applyAlignment="1" applyProtection="1">
      <alignment vertical="center"/>
      <protection hidden="1"/>
    </xf>
    <xf numFmtId="0" fontId="17" fillId="0" borderId="21" xfId="0" applyFont="1" applyBorder="1" applyAlignment="1" applyProtection="1">
      <alignment vertical="center"/>
      <protection hidden="1"/>
    </xf>
    <xf numFmtId="0" fontId="17" fillId="0" borderId="1" xfId="0" applyFont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Border="1" applyAlignment="1" applyProtection="1">
      <alignment vertical="center"/>
      <protection hidden="1"/>
    </xf>
    <xf numFmtId="0" fontId="17" fillId="0" borderId="15" xfId="0" applyFont="1" applyBorder="1" applyAlignment="1" applyProtection="1">
      <alignment vertical="center"/>
      <protection hidden="1"/>
    </xf>
    <xf numFmtId="44" fontId="17" fillId="0" borderId="0" xfId="0" applyNumberFormat="1" applyFont="1" applyAlignment="1" applyProtection="1">
      <alignment vertical="center"/>
      <protection hidden="1"/>
    </xf>
    <xf numFmtId="3" fontId="17" fillId="0" borderId="0" xfId="0" applyNumberFormat="1" applyFont="1" applyFill="1" applyBorder="1" applyAlignment="1" applyProtection="1">
      <protection hidden="1"/>
    </xf>
    <xf numFmtId="10" fontId="17" fillId="0" borderId="0" xfId="0" applyNumberFormat="1" applyFont="1" applyFill="1" applyBorder="1" applyAlignment="1" applyProtection="1">
      <alignment horizontal="center" vertical="center"/>
      <protection hidden="1"/>
    </xf>
    <xf numFmtId="9" fontId="17" fillId="0" borderId="0" xfId="0" applyNumberFormat="1" applyFont="1" applyBorder="1" applyAlignment="1" applyProtection="1">
      <alignment vertical="center"/>
      <protection hidden="1"/>
    </xf>
    <xf numFmtId="164" fontId="17" fillId="0" borderId="0" xfId="2" applyNumberFormat="1" applyFont="1" applyFill="1" applyBorder="1" applyAlignment="1" applyProtection="1">
      <alignment vertical="center"/>
      <protection hidden="1"/>
    </xf>
    <xf numFmtId="9" fontId="17" fillId="0" borderId="0" xfId="0" applyNumberFormat="1" applyFont="1" applyFill="1" applyBorder="1" applyAlignment="1" applyProtection="1">
      <alignment horizontal="center" vertical="center"/>
      <protection hidden="1"/>
    </xf>
    <xf numFmtId="164" fontId="17" fillId="0" borderId="0" xfId="2" applyNumberFormat="1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18" fillId="14" borderId="4" xfId="0" applyFont="1" applyFill="1" applyBorder="1" applyAlignment="1" applyProtection="1">
      <alignment horizontal="center" vertical="center" wrapText="1"/>
      <protection hidden="1"/>
    </xf>
    <xf numFmtId="0" fontId="18" fillId="14" borderId="16" xfId="0" applyFont="1" applyFill="1" applyBorder="1" applyAlignment="1" applyProtection="1">
      <alignment horizontal="center" vertical="center" wrapText="1"/>
      <protection hidden="1"/>
    </xf>
    <xf numFmtId="0" fontId="18" fillId="14" borderId="26" xfId="0" applyFont="1" applyFill="1" applyBorder="1" applyAlignment="1" applyProtection="1">
      <alignment horizontal="center" vertical="center" wrapText="1"/>
      <protection hidden="1"/>
    </xf>
    <xf numFmtId="0" fontId="18" fillId="14" borderId="6" xfId="0" applyFont="1" applyFill="1" applyBorder="1" applyAlignment="1" applyProtection="1">
      <alignment horizontal="center" vertical="center" wrapText="1"/>
      <protection hidden="1"/>
    </xf>
    <xf numFmtId="0" fontId="17" fillId="0" borderId="15" xfId="0" applyFont="1" applyBorder="1" applyAlignment="1" applyProtection="1">
      <alignment vertical="center" wrapTex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167" fontId="17" fillId="2" borderId="23" xfId="1" applyNumberFormat="1" applyFont="1" applyFill="1" applyBorder="1" applyAlignment="1" applyProtection="1">
      <alignment horizontal="center" vertical="center"/>
      <protection hidden="1"/>
    </xf>
    <xf numFmtId="0" fontId="18" fillId="14" borderId="33" xfId="0" applyFont="1" applyFill="1" applyBorder="1" applyAlignment="1" applyProtection="1">
      <alignment horizontal="center" vertical="center"/>
      <protection hidden="1"/>
    </xf>
    <xf numFmtId="0" fontId="17" fillId="0" borderId="2" xfId="0" applyFont="1" applyBorder="1" applyAlignment="1" applyProtection="1">
      <alignment vertical="center"/>
      <protection hidden="1"/>
    </xf>
    <xf numFmtId="0" fontId="17" fillId="0" borderId="8" xfId="0" applyFont="1" applyBorder="1" applyAlignment="1" applyProtection="1">
      <alignment vertical="center"/>
      <protection hidden="1"/>
    </xf>
    <xf numFmtId="0" fontId="17" fillId="0" borderId="9" xfId="0" applyFont="1" applyBorder="1" applyAlignment="1" applyProtection="1">
      <alignment vertical="center"/>
      <protection hidden="1"/>
    </xf>
    <xf numFmtId="0" fontId="8" fillId="0" borderId="4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16" borderId="5" xfId="0" applyFont="1" applyFill="1" applyBorder="1" applyAlignment="1" applyProtection="1">
      <alignment vertical="center"/>
      <protection hidden="1"/>
    </xf>
    <xf numFmtId="0" fontId="16" fillId="16" borderId="21" xfId="0" applyFont="1" applyFill="1" applyBorder="1" applyAlignment="1" applyProtection="1">
      <alignment vertical="center"/>
      <protection hidden="1"/>
    </xf>
    <xf numFmtId="0" fontId="16" fillId="16" borderId="0" xfId="0" applyFont="1" applyFill="1" applyBorder="1" applyAlignment="1" applyProtection="1">
      <alignment vertical="center"/>
      <protection hidden="1"/>
    </xf>
    <xf numFmtId="0" fontId="16" fillId="16" borderId="15" xfId="0" applyFont="1" applyFill="1" applyBorder="1" applyAlignment="1" applyProtection="1">
      <alignment vertical="center"/>
      <protection hidden="1"/>
    </xf>
    <xf numFmtId="0" fontId="25" fillId="16" borderId="1" xfId="0" applyFont="1" applyFill="1" applyBorder="1" applyAlignment="1" applyProtection="1">
      <alignment horizontal="left" vertical="center"/>
      <protection hidden="1"/>
    </xf>
    <xf numFmtId="0" fontId="24" fillId="16" borderId="0" xfId="0" applyFont="1" applyFill="1" applyBorder="1" applyAlignment="1" applyProtection="1">
      <alignment vertical="center"/>
      <protection hidden="1"/>
    </xf>
    <xf numFmtId="0" fontId="0" fillId="16" borderId="0" xfId="0" applyFill="1" applyBorder="1" applyAlignment="1" applyProtection="1">
      <alignment vertical="center"/>
      <protection hidden="1"/>
    </xf>
    <xf numFmtId="0" fontId="26" fillId="16" borderId="43" xfId="0" applyFont="1" applyFill="1" applyBorder="1" applyAlignment="1" applyProtection="1">
      <alignment vertical="center"/>
      <protection hidden="1"/>
    </xf>
    <xf numFmtId="0" fontId="23" fillId="16" borderId="19" xfId="0" applyFont="1" applyFill="1" applyBorder="1" applyAlignment="1" applyProtection="1">
      <alignment vertical="center"/>
      <protection hidden="1"/>
    </xf>
    <xf numFmtId="0" fontId="23" fillId="16" borderId="28" xfId="0" applyFont="1" applyFill="1" applyBorder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6" fillId="16" borderId="1" xfId="0" applyFont="1" applyFill="1" applyBorder="1" applyAlignment="1" applyProtection="1">
      <alignment vertical="center"/>
      <protection hidden="1"/>
    </xf>
    <xf numFmtId="0" fontId="23" fillId="16" borderId="0" xfId="0" applyFont="1" applyFill="1" applyBorder="1" applyAlignment="1" applyProtection="1">
      <alignment vertical="center"/>
      <protection hidden="1"/>
    </xf>
    <xf numFmtId="0" fontId="23" fillId="16" borderId="15" xfId="0" applyFont="1" applyFill="1" applyBorder="1" applyAlignment="1" applyProtection="1">
      <alignment vertical="center"/>
      <protection hidden="1"/>
    </xf>
    <xf numFmtId="0" fontId="29" fillId="16" borderId="1" xfId="0" applyFont="1" applyFill="1" applyBorder="1" applyAlignment="1" applyProtection="1">
      <alignment horizontal="left" vertical="center" wrapText="1"/>
      <protection hidden="1"/>
    </xf>
    <xf numFmtId="0" fontId="23" fillId="16" borderId="1" xfId="0" applyFont="1" applyFill="1" applyBorder="1" applyAlignment="1" applyProtection="1">
      <alignment horizontal="left" vertical="center"/>
      <protection hidden="1"/>
    </xf>
    <xf numFmtId="0" fontId="23" fillId="16" borderId="1" xfId="0" applyFont="1" applyFill="1" applyBorder="1" applyAlignment="1" applyProtection="1">
      <alignment vertical="center"/>
      <protection hidden="1"/>
    </xf>
    <xf numFmtId="0" fontId="29" fillId="16" borderId="0" xfId="0" applyFont="1" applyFill="1" applyBorder="1" applyAlignment="1" applyProtection="1">
      <alignment horizontal="left" vertical="center" wrapText="1"/>
      <protection hidden="1"/>
    </xf>
    <xf numFmtId="0" fontId="23" fillId="16" borderId="1" xfId="0" applyFont="1" applyFill="1" applyBorder="1" applyAlignment="1" applyProtection="1">
      <alignment horizontal="left" vertical="center" wrapText="1"/>
      <protection hidden="1"/>
    </xf>
    <xf numFmtId="0" fontId="26" fillId="16" borderId="56" xfId="0" applyFont="1" applyFill="1" applyBorder="1" applyAlignment="1" applyProtection="1">
      <alignment vertical="center" wrapText="1"/>
      <protection hidden="1"/>
    </xf>
    <xf numFmtId="0" fontId="26" fillId="16" borderId="46" xfId="0" applyFont="1" applyFill="1" applyBorder="1" applyAlignment="1" applyProtection="1">
      <alignment vertical="center" wrapText="1"/>
      <protection hidden="1"/>
    </xf>
    <xf numFmtId="0" fontId="16" fillId="16" borderId="46" xfId="0" applyFont="1" applyFill="1" applyBorder="1" applyAlignment="1" applyProtection="1">
      <alignment vertical="center"/>
      <protection hidden="1"/>
    </xf>
    <xf numFmtId="0" fontId="16" fillId="16" borderId="57" xfId="0" applyFont="1" applyFill="1" applyBorder="1" applyAlignment="1" applyProtection="1">
      <alignment vertical="center"/>
      <protection hidden="1"/>
    </xf>
    <xf numFmtId="0" fontId="32" fillId="16" borderId="1" xfId="0" applyFont="1" applyFill="1" applyBorder="1" applyAlignment="1" applyProtection="1">
      <alignment vertical="center" wrapText="1"/>
      <protection hidden="1"/>
    </xf>
    <xf numFmtId="0" fontId="31" fillId="16" borderId="0" xfId="0" applyFont="1" applyFill="1" applyBorder="1" applyAlignment="1" applyProtection="1">
      <alignment vertical="center"/>
      <protection hidden="1"/>
    </xf>
    <xf numFmtId="0" fontId="26" fillId="16" borderId="1" xfId="0" applyFont="1" applyFill="1" applyBorder="1" applyAlignment="1" applyProtection="1">
      <alignment vertical="center" wrapText="1"/>
      <protection hidden="1"/>
    </xf>
    <xf numFmtId="0" fontId="26" fillId="16" borderId="36" xfId="0" applyFont="1" applyFill="1" applyBorder="1" applyAlignment="1" applyProtection="1">
      <alignment vertical="center" wrapText="1"/>
      <protection hidden="1"/>
    </xf>
    <xf numFmtId="0" fontId="23" fillId="16" borderId="37" xfId="0" applyFont="1" applyFill="1" applyBorder="1" applyAlignment="1" applyProtection="1">
      <alignment horizontal="center" vertical="center" wrapText="1"/>
      <protection hidden="1"/>
    </xf>
    <xf numFmtId="0" fontId="16" fillId="16" borderId="37" xfId="0" applyFont="1" applyFill="1" applyBorder="1" applyAlignment="1" applyProtection="1">
      <alignment vertical="center"/>
      <protection hidden="1"/>
    </xf>
    <xf numFmtId="0" fontId="16" fillId="16" borderId="38" xfId="0" applyFont="1" applyFill="1" applyBorder="1" applyAlignment="1" applyProtection="1">
      <alignment vertical="center"/>
      <protection hidden="1"/>
    </xf>
    <xf numFmtId="0" fontId="23" fillId="16" borderId="46" xfId="0" applyFont="1" applyFill="1" applyBorder="1" applyAlignment="1" applyProtection="1">
      <alignment horizontal="center" vertical="center" wrapText="1"/>
      <protection hidden="1"/>
    </xf>
    <xf numFmtId="0" fontId="23" fillId="16" borderId="0" xfId="0" applyFont="1" applyFill="1" applyBorder="1" applyAlignment="1" applyProtection="1">
      <alignment horizontal="center" vertical="center" wrapText="1"/>
      <protection hidden="1"/>
    </xf>
    <xf numFmtId="0" fontId="23" fillId="16" borderId="2" xfId="0" applyFont="1" applyFill="1" applyBorder="1" applyAlignment="1" applyProtection="1">
      <alignment vertical="center"/>
      <protection hidden="1"/>
    </xf>
    <xf numFmtId="0" fontId="24" fillId="16" borderId="8" xfId="0" applyFont="1" applyFill="1" applyBorder="1" applyAlignment="1" applyProtection="1">
      <alignment vertical="center"/>
      <protection hidden="1"/>
    </xf>
    <xf numFmtId="0" fontId="16" fillId="16" borderId="8" xfId="0" applyFont="1" applyFill="1" applyBorder="1" applyAlignment="1" applyProtection="1">
      <alignment vertical="center"/>
      <protection hidden="1"/>
    </xf>
    <xf numFmtId="0" fontId="16" fillId="16" borderId="9" xfId="0" applyFont="1" applyFill="1" applyBorder="1" applyAlignment="1" applyProtection="1">
      <alignment vertical="center"/>
      <protection hidden="1"/>
    </xf>
    <xf numFmtId="0" fontId="39" fillId="0" borderId="0" xfId="0" applyFont="1" applyBorder="1" applyAlignment="1" applyProtection="1">
      <protection hidden="1"/>
    </xf>
    <xf numFmtId="0" fontId="7" fillId="0" borderId="26" xfId="0" applyFont="1" applyFill="1" applyBorder="1" applyAlignment="1" applyProtection="1">
      <alignment horizontal="right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hidden="1"/>
    </xf>
    <xf numFmtId="0" fontId="7" fillId="0" borderId="56" xfId="0" applyFont="1" applyFill="1" applyBorder="1" applyAlignment="1" applyProtection="1">
      <alignment horizontal="left" vertical="center" wrapText="1"/>
      <protection hidden="1"/>
    </xf>
    <xf numFmtId="0" fontId="7" fillId="0" borderId="2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right" vertical="center" wrapText="1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8" fillId="20" borderId="44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protection hidden="1"/>
    </xf>
    <xf numFmtId="0" fontId="0" fillId="0" borderId="21" xfId="0" applyBorder="1" applyAlignment="1" applyProtection="1">
      <protection hidden="1"/>
    </xf>
    <xf numFmtId="0" fontId="0" fillId="0" borderId="1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2" fontId="6" fillId="0" borderId="15" xfId="0" applyNumberFormat="1" applyFont="1" applyFill="1" applyBorder="1" applyAlignment="1" applyProtection="1">
      <protection hidden="1"/>
    </xf>
    <xf numFmtId="0" fontId="7" fillId="0" borderId="8" xfId="0" applyFont="1" applyFill="1" applyBorder="1" applyAlignment="1" applyProtection="1">
      <alignment horizontal="right" vertical="center" wrapText="1"/>
      <protection hidden="1"/>
    </xf>
    <xf numFmtId="0" fontId="7" fillId="0" borderId="9" xfId="0" applyFont="1" applyFill="1" applyBorder="1" applyAlignment="1" applyProtection="1">
      <alignment horizontal="right" vertical="center" wrapText="1"/>
      <protection hidden="1"/>
    </xf>
    <xf numFmtId="0" fontId="7" fillId="0" borderId="5" xfId="0" applyFont="1" applyFill="1" applyBorder="1" applyAlignment="1" applyProtection="1">
      <alignment horizontal="right" vertical="center" wrapText="1"/>
      <protection hidden="1"/>
    </xf>
    <xf numFmtId="0" fontId="7" fillId="0" borderId="21" xfId="0" applyFont="1" applyFill="1" applyBorder="1" applyAlignment="1" applyProtection="1">
      <alignment horizontal="right" vertical="center" wrapText="1"/>
      <protection hidden="1"/>
    </xf>
    <xf numFmtId="0" fontId="7" fillId="0" borderId="15" xfId="0" applyFont="1" applyFill="1" applyBorder="1" applyAlignment="1" applyProtection="1">
      <alignment horizontal="right" vertical="center" wrapText="1"/>
      <protection hidden="1"/>
    </xf>
    <xf numFmtId="44" fontId="0" fillId="0" borderId="15" xfId="0" applyNumberFormat="1" applyBorder="1" applyAlignment="1" applyProtection="1">
      <protection hidden="1"/>
    </xf>
    <xf numFmtId="0" fontId="0" fillId="0" borderId="2" xfId="0" applyBorder="1" applyAlignment="1" applyProtection="1">
      <protection hidden="1"/>
    </xf>
    <xf numFmtId="0" fontId="12" fillId="0" borderId="8" xfId="0" applyFont="1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44" fontId="0" fillId="0" borderId="0" xfId="0" applyNumberFormat="1" applyFill="1" applyBorder="1" applyAlignment="1" applyProtection="1">
      <alignment horizontal="left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22" fillId="0" borderId="15" xfId="0" applyFont="1" applyBorder="1" applyAlignment="1" applyProtection="1">
      <alignment vertical="center" wrapText="1"/>
      <protection hidden="1"/>
    </xf>
    <xf numFmtId="44" fontId="5" fillId="0" borderId="35" xfId="1" applyFont="1" applyFill="1" applyBorder="1" applyAlignment="1" applyProtection="1">
      <alignment horizontal="center" vertical="center"/>
      <protection hidden="1"/>
    </xf>
    <xf numFmtId="0" fontId="8" fillId="0" borderId="61" xfId="0" applyFont="1" applyFill="1" applyBorder="1" applyAlignment="1" applyProtection="1">
      <alignment horizontal="center" vertical="center" wrapText="1"/>
      <protection hidden="1"/>
    </xf>
    <xf numFmtId="44" fontId="17" fillId="20" borderId="12" xfId="1" applyFont="1" applyFill="1" applyBorder="1" applyAlignment="1" applyProtection="1">
      <protection hidden="1"/>
    </xf>
    <xf numFmtId="44" fontId="17" fillId="20" borderId="13" xfId="1" applyFont="1" applyFill="1" applyBorder="1" applyAlignment="1" applyProtection="1">
      <protection hidden="1"/>
    </xf>
    <xf numFmtId="10" fontId="17" fillId="20" borderId="13" xfId="2" applyNumberFormat="1" applyFont="1" applyFill="1" applyBorder="1" applyAlignment="1" applyProtection="1">
      <protection hidden="1"/>
    </xf>
    <xf numFmtId="3" fontId="17" fillId="20" borderId="13" xfId="0" applyNumberFormat="1" applyFont="1" applyFill="1" applyBorder="1" applyAlignment="1" applyProtection="1">
      <protection hidden="1"/>
    </xf>
    <xf numFmtId="10" fontId="17" fillId="20" borderId="25" xfId="2" applyNumberFormat="1" applyFont="1" applyFill="1" applyBorder="1" applyAlignment="1" applyProtection="1">
      <protection hidden="1"/>
    </xf>
    <xf numFmtId="167" fontId="17" fillId="20" borderId="23" xfId="1" applyNumberFormat="1" applyFont="1" applyFill="1" applyBorder="1" applyAlignment="1" applyProtection="1">
      <alignment horizontal="center" vertical="center"/>
      <protection hidden="1"/>
    </xf>
    <xf numFmtId="167" fontId="17" fillId="20" borderId="11" xfId="1" applyNumberFormat="1" applyFont="1" applyFill="1" applyBorder="1" applyAlignment="1" applyProtection="1">
      <alignment horizontal="center" vertical="center"/>
      <protection hidden="1"/>
    </xf>
    <xf numFmtId="165" fontId="17" fillId="20" borderId="11" xfId="0" applyNumberFormat="1" applyFont="1" applyFill="1" applyBorder="1" applyAlignment="1" applyProtection="1">
      <alignment horizontal="center" vertical="center"/>
      <protection hidden="1"/>
    </xf>
    <xf numFmtId="0" fontId="17" fillId="20" borderId="12" xfId="0" applyFont="1" applyFill="1" applyBorder="1" applyAlignment="1" applyProtection="1">
      <alignment horizontal="center" vertical="center"/>
      <protection hidden="1"/>
    </xf>
    <xf numFmtId="167" fontId="17" fillId="20" borderId="3" xfId="1" applyNumberFormat="1" applyFont="1" applyFill="1" applyBorder="1" applyAlignment="1" applyProtection="1">
      <alignment horizontal="center" vertical="center"/>
      <protection hidden="1"/>
    </xf>
    <xf numFmtId="2" fontId="17" fillId="20" borderId="3" xfId="0" applyNumberFormat="1" applyFont="1" applyFill="1" applyBorder="1" applyAlignment="1" applyProtection="1">
      <alignment horizontal="center" vertical="center"/>
      <protection hidden="1"/>
    </xf>
    <xf numFmtId="164" fontId="17" fillId="20" borderId="13" xfId="0" applyNumberFormat="1" applyFont="1" applyFill="1" applyBorder="1" applyAlignment="1" applyProtection="1">
      <alignment horizontal="center" vertical="center"/>
      <protection hidden="1"/>
    </xf>
    <xf numFmtId="167" fontId="17" fillId="20" borderId="0" xfId="1" applyNumberFormat="1" applyFont="1" applyFill="1" applyAlignment="1" applyProtection="1">
      <alignment horizontal="center" vertical="center"/>
      <protection hidden="1"/>
    </xf>
    <xf numFmtId="0" fontId="7" fillId="2" borderId="26" xfId="0" applyFont="1" applyFill="1" applyBorder="1" applyAlignment="1" applyProtection="1">
      <alignment horizontal="center" vertical="center" wrapText="1"/>
      <protection hidden="1"/>
    </xf>
    <xf numFmtId="0" fontId="8" fillId="16" borderId="44" xfId="0" applyFont="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8" fillId="20" borderId="44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172" fontId="0" fillId="0" borderId="3" xfId="0" applyNumberFormat="1" applyBorder="1" applyAlignment="1" applyProtection="1">
      <alignment horizontal="center" vertical="center"/>
      <protection hidden="1"/>
    </xf>
    <xf numFmtId="172" fontId="0" fillId="0" borderId="3" xfId="0" applyNumberFormat="1" applyBorder="1" applyProtection="1">
      <protection hidden="1"/>
    </xf>
    <xf numFmtId="0" fontId="44" fillId="2" borderId="10" xfId="0" applyFont="1" applyFill="1" applyBorder="1" applyProtection="1">
      <protection hidden="1"/>
    </xf>
    <xf numFmtId="0" fontId="44" fillId="2" borderId="44" xfId="0" applyFont="1" applyFill="1" applyBorder="1" applyProtection="1">
      <protection hidden="1"/>
    </xf>
    <xf numFmtId="0" fontId="44" fillId="2" borderId="50" xfId="0" applyFont="1" applyFill="1" applyBorder="1" applyProtection="1">
      <protection hidden="1"/>
    </xf>
    <xf numFmtId="0" fontId="26" fillId="16" borderId="0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>
      <alignment horizontal="center" vertical="center"/>
    </xf>
    <xf numFmtId="0" fontId="51" fillId="0" borderId="0" xfId="0" applyFont="1" applyFill="1" applyBorder="1" applyAlignment="1" applyProtection="1">
      <alignment horizontal="center"/>
      <protection hidden="1"/>
    </xf>
    <xf numFmtId="0" fontId="50" fillId="0" borderId="23" xfId="0" applyFont="1" applyBorder="1" applyAlignment="1" applyProtection="1">
      <alignment horizontal="center"/>
      <protection hidden="1"/>
    </xf>
    <xf numFmtId="0" fontId="50" fillId="0" borderId="3" xfId="0" applyFont="1" applyBorder="1" applyAlignment="1" applyProtection="1">
      <alignment horizontal="center"/>
      <protection hidden="1"/>
    </xf>
    <xf numFmtId="0" fontId="50" fillId="0" borderId="0" xfId="0" applyFont="1" applyFill="1" applyBorder="1" applyAlignment="1" applyProtection="1">
      <alignment horizontal="center"/>
      <protection hidden="1"/>
    </xf>
    <xf numFmtId="0" fontId="50" fillId="0" borderId="1" xfId="0" applyFont="1" applyBorder="1" applyAlignment="1" applyProtection="1">
      <alignment horizontal="center" wrapText="1"/>
      <protection hidden="1"/>
    </xf>
    <xf numFmtId="0" fontId="50" fillId="0" borderId="0" xfId="0" applyFont="1" applyBorder="1" applyAlignment="1" applyProtection="1">
      <alignment horizontal="center" wrapText="1"/>
      <protection hidden="1"/>
    </xf>
    <xf numFmtId="0" fontId="23" fillId="16" borderId="56" xfId="0" applyFont="1" applyFill="1" applyBorder="1" applyAlignment="1" applyProtection="1">
      <alignment horizontal="center" vertical="center"/>
      <protection hidden="1"/>
    </xf>
    <xf numFmtId="0" fontId="23" fillId="16" borderId="46" xfId="0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0" fontId="0" fillId="2" borderId="68" xfId="0" applyFill="1" applyBorder="1" applyProtection="1">
      <protection hidden="1"/>
    </xf>
    <xf numFmtId="0" fontId="0" fillId="2" borderId="21" xfId="0" applyFill="1" applyBorder="1" applyProtection="1"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0" fontId="0" fillId="2" borderId="4" xfId="0" applyFill="1" applyBorder="1" applyProtection="1">
      <protection hidden="1"/>
    </xf>
    <xf numFmtId="3" fontId="8" fillId="5" borderId="19" xfId="0" applyNumberFormat="1" applyFont="1" applyFill="1" applyBorder="1" applyAlignment="1" applyProtection="1">
      <alignment vertical="center" wrapText="1"/>
      <protection hidden="1"/>
    </xf>
    <xf numFmtId="167" fontId="0" fillId="3" borderId="2" xfId="0" applyNumberFormat="1" applyFill="1" applyBorder="1" applyAlignment="1" applyProtection="1">
      <protection hidden="1"/>
    </xf>
    <xf numFmtId="0" fontId="7" fillId="0" borderId="36" xfId="0" applyFont="1" applyFill="1" applyBorder="1" applyAlignment="1" applyProtection="1">
      <alignment horizontal="left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 wrapText="1"/>
      <protection hidden="1"/>
    </xf>
    <xf numFmtId="167" fontId="5" fillId="0" borderId="0" xfId="1" applyNumberFormat="1" applyFont="1" applyFill="1" applyBorder="1" applyAlignment="1" applyProtection="1">
      <alignment horizontal="center" vertical="center"/>
      <protection hidden="1"/>
    </xf>
    <xf numFmtId="0" fontId="8" fillId="0" borderId="14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9" fontId="0" fillId="0" borderId="0" xfId="0" applyNumberFormat="1" applyBorder="1" applyAlignment="1" applyProtection="1">
      <alignment horizontal="right"/>
      <protection hidden="1"/>
    </xf>
    <xf numFmtId="0" fontId="55" fillId="0" borderId="4" xfId="0" applyFont="1" applyBorder="1" applyProtection="1">
      <protection hidden="1"/>
    </xf>
    <xf numFmtId="0" fontId="0" fillId="0" borderId="1" xfId="0" applyBorder="1" applyAlignment="1" applyProtection="1">
      <alignment horizontal="left" wrapText="1"/>
      <protection hidden="1"/>
    </xf>
    <xf numFmtId="9" fontId="0" fillId="0" borderId="0" xfId="0" applyNumberFormat="1" applyBorder="1" applyAlignment="1" applyProtection="1">
      <alignment horizontal="right" wrapText="1"/>
      <protection hidden="1"/>
    </xf>
    <xf numFmtId="0" fontId="0" fillId="0" borderId="1" xfId="0" applyBorder="1" applyAlignment="1" applyProtection="1">
      <alignment horizontal="left"/>
      <protection hidden="1"/>
    </xf>
    <xf numFmtId="0" fontId="22" fillId="0" borderId="0" xfId="0" applyFont="1" applyBorder="1" applyAlignment="1" applyProtection="1">
      <alignment vertical="center" wrapText="1"/>
      <protection hidden="1"/>
    </xf>
    <xf numFmtId="0" fontId="8" fillId="20" borderId="32" xfId="0" applyFont="1" applyFill="1" applyBorder="1" applyAlignment="1" applyProtection="1">
      <alignment vertical="center" wrapText="1"/>
      <protection hidden="1"/>
    </xf>
    <xf numFmtId="3" fontId="0" fillId="20" borderId="7" xfId="0" applyNumberFormat="1" applyFill="1" applyBorder="1" applyAlignment="1" applyProtection="1">
      <protection hidden="1"/>
    </xf>
    <xf numFmtId="3" fontId="0" fillId="20" borderId="11" xfId="0" applyNumberFormat="1" applyFill="1" applyBorder="1" applyAlignment="1" applyProtection="1">
      <protection hidden="1"/>
    </xf>
    <xf numFmtId="3" fontId="0" fillId="2" borderId="12" xfId="0" applyNumberFormat="1" applyFill="1" applyBorder="1" applyAlignment="1" applyProtection="1">
      <protection hidden="1"/>
    </xf>
    <xf numFmtId="3" fontId="0" fillId="20" borderId="23" xfId="0" applyNumberFormat="1" applyFill="1" applyBorder="1" applyAlignment="1" applyProtection="1">
      <protection hidden="1"/>
    </xf>
    <xf numFmtId="3" fontId="0" fillId="20" borderId="3" xfId="0" applyNumberFormat="1" applyFill="1" applyBorder="1" applyAlignment="1" applyProtection="1">
      <protection hidden="1"/>
    </xf>
    <xf numFmtId="3" fontId="0" fillId="2" borderId="13" xfId="0" applyNumberFormat="1" applyFill="1" applyBorder="1" applyAlignment="1" applyProtection="1">
      <protection hidden="1"/>
    </xf>
    <xf numFmtId="3" fontId="12" fillId="20" borderId="24" xfId="0" applyNumberFormat="1" applyFont="1" applyFill="1" applyBorder="1" applyAlignment="1" applyProtection="1">
      <protection hidden="1"/>
    </xf>
    <xf numFmtId="3" fontId="12" fillId="20" borderId="14" xfId="0" applyNumberFormat="1" applyFont="1" applyFill="1" applyBorder="1" applyAlignment="1" applyProtection="1">
      <protection hidden="1"/>
    </xf>
    <xf numFmtId="3" fontId="13" fillId="2" borderId="25" xfId="0" applyNumberFormat="1" applyFont="1" applyFill="1" applyBorder="1" applyAlignment="1" applyProtection="1">
      <protection hidden="1"/>
    </xf>
    <xf numFmtId="0" fontId="58" fillId="2" borderId="0" xfId="0" applyFont="1" applyFill="1" applyAlignment="1" applyProtection="1">
      <alignment horizontal="left" vertical="top"/>
      <protection locked="0"/>
    </xf>
    <xf numFmtId="0" fontId="57" fillId="2" borderId="0" xfId="0" applyFont="1" applyFill="1" applyBorder="1" applyProtection="1">
      <protection locked="0"/>
    </xf>
    <xf numFmtId="0" fontId="58" fillId="2" borderId="0" xfId="0" applyFont="1" applyFill="1" applyAlignment="1" applyProtection="1">
      <alignment horizontal="left" vertical="center" wrapText="1"/>
      <protection locked="0"/>
    </xf>
    <xf numFmtId="0" fontId="58" fillId="2" borderId="0" xfId="0" applyFont="1" applyFill="1" applyAlignment="1" applyProtection="1">
      <alignment horizontal="left" vertical="center"/>
      <protection locked="0"/>
    </xf>
    <xf numFmtId="0" fontId="58" fillId="2" borderId="0" xfId="0" applyFont="1" applyFill="1" applyAlignment="1" applyProtection="1">
      <alignment vertical="top"/>
      <protection locked="0"/>
    </xf>
    <xf numFmtId="0" fontId="57" fillId="2" borderId="0" xfId="0" applyFont="1" applyFill="1" applyBorder="1" applyAlignment="1" applyProtection="1">
      <alignment vertical="center"/>
      <protection locked="0"/>
    </xf>
    <xf numFmtId="0" fontId="57" fillId="2" borderId="0" xfId="0" applyFont="1" applyFill="1" applyBorder="1" applyAlignment="1" applyProtection="1">
      <alignment wrapText="1"/>
      <protection locked="0"/>
    </xf>
    <xf numFmtId="0" fontId="57" fillId="2" borderId="0" xfId="0" applyFont="1" applyFill="1" applyBorder="1" applyAlignment="1" applyProtection="1">
      <protection locked="0"/>
    </xf>
    <xf numFmtId="0" fontId="61" fillId="2" borderId="0" xfId="0" applyFont="1" applyFill="1" applyBorder="1" applyAlignment="1" applyProtection="1">
      <alignment vertical="center"/>
      <protection locked="0"/>
    </xf>
    <xf numFmtId="0" fontId="57" fillId="0" borderId="0" xfId="0" applyFont="1" applyFill="1" applyBorder="1" applyProtection="1">
      <protection locked="0"/>
    </xf>
    <xf numFmtId="0" fontId="57" fillId="2" borderId="0" xfId="0" applyFont="1" applyFill="1" applyBorder="1" applyAlignment="1" applyProtection="1">
      <alignment vertical="center" wrapText="1"/>
      <protection locked="0"/>
    </xf>
    <xf numFmtId="0" fontId="63" fillId="2" borderId="0" xfId="0" applyFont="1" applyFill="1" applyAlignment="1" applyProtection="1">
      <alignment vertical="center"/>
      <protection locked="0"/>
    </xf>
    <xf numFmtId="0" fontId="57" fillId="2" borderId="0" xfId="0" applyFont="1" applyFill="1" applyBorder="1" applyAlignment="1" applyProtection="1">
      <alignment horizontal="center" vertical="center"/>
      <protection locked="0"/>
    </xf>
    <xf numFmtId="0" fontId="57" fillId="2" borderId="0" xfId="0" applyFont="1" applyFill="1" applyBorder="1" applyAlignment="1" applyProtection="1">
      <alignment horizontal="center" vertical="center" wrapText="1"/>
      <protection locked="0"/>
    </xf>
    <xf numFmtId="0" fontId="57" fillId="2" borderId="0" xfId="0" applyFont="1" applyFill="1" applyBorder="1" applyAlignment="1" applyProtection="1">
      <alignment vertical="center"/>
    </xf>
    <xf numFmtId="4" fontId="57" fillId="0" borderId="0" xfId="0" applyNumberFormat="1" applyFont="1" applyFill="1" applyBorder="1" applyAlignment="1" applyProtection="1">
      <alignment horizontal="center" vertical="center"/>
      <protection locked="0"/>
    </xf>
    <xf numFmtId="4" fontId="60" fillId="0" borderId="0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Fill="1" applyBorder="1" applyAlignment="1" applyProtection="1">
      <alignment horizontal="center" vertical="center"/>
      <protection locked="0"/>
    </xf>
    <xf numFmtId="3" fontId="8" fillId="5" borderId="43" xfId="0" applyNumberFormat="1" applyFont="1" applyFill="1" applyBorder="1" applyAlignment="1" applyProtection="1">
      <alignment vertical="center" wrapText="1"/>
      <protection hidden="1"/>
    </xf>
    <xf numFmtId="0" fontId="0" fillId="2" borderId="0" xfId="0" applyFont="1" applyFill="1" applyBorder="1" applyAlignment="1" applyProtection="1">
      <alignment horizontal="left" vertical="center" wrapText="1"/>
      <protection hidden="1"/>
    </xf>
    <xf numFmtId="0" fontId="0" fillId="0" borderId="4" xfId="0" applyFill="1" applyBorder="1" applyProtection="1">
      <protection hidden="1"/>
    </xf>
    <xf numFmtId="0" fontId="0" fillId="0" borderId="21" xfId="0" applyFill="1" applyBorder="1" applyProtection="1">
      <protection hidden="1"/>
    </xf>
    <xf numFmtId="3" fontId="0" fillId="8" borderId="26" xfId="0" applyNumberFormat="1" applyFill="1" applyBorder="1" applyAlignment="1" applyProtection="1">
      <protection hidden="1"/>
    </xf>
    <xf numFmtId="3" fontId="9" fillId="2" borderId="26" xfId="0" applyNumberFormat="1" applyFont="1" applyFill="1" applyBorder="1" applyAlignment="1" applyProtection="1">
      <protection hidden="1"/>
    </xf>
    <xf numFmtId="3" fontId="12" fillId="2" borderId="26" xfId="0" applyNumberFormat="1" applyFont="1" applyFill="1" applyBorder="1" applyAlignment="1" applyProtection="1">
      <protection hidden="1"/>
    </xf>
    <xf numFmtId="3" fontId="0" fillId="2" borderId="26" xfId="0" applyNumberFormat="1" applyFill="1" applyBorder="1" applyAlignment="1" applyProtection="1">
      <protection hidden="1"/>
    </xf>
    <xf numFmtId="3" fontId="0" fillId="2" borderId="26" xfId="0" applyNumberFormat="1" applyFont="1" applyFill="1" applyBorder="1" applyAlignment="1" applyProtection="1">
      <protection hidden="1"/>
    </xf>
    <xf numFmtId="3" fontId="0" fillId="0" borderId="0" xfId="0" applyNumberFormat="1" applyFont="1" applyBorder="1" applyAlignment="1" applyProtection="1">
      <alignment horizontal="right"/>
      <protection hidden="1"/>
    </xf>
    <xf numFmtId="3" fontId="0" fillId="2" borderId="0" xfId="0" applyNumberFormat="1" applyFont="1" applyFill="1" applyBorder="1" applyAlignment="1" applyProtection="1">
      <alignment horizontal="left"/>
      <protection hidden="1"/>
    </xf>
    <xf numFmtId="3" fontId="7" fillId="2" borderId="0" xfId="0" applyNumberFormat="1" applyFont="1" applyFill="1" applyBorder="1" applyAlignment="1" applyProtection="1">
      <protection hidden="1"/>
    </xf>
    <xf numFmtId="3" fontId="0" fillId="0" borderId="0" xfId="0" applyNumberFormat="1" applyFont="1" applyBorder="1" applyAlignment="1" applyProtection="1">
      <protection hidden="1"/>
    </xf>
    <xf numFmtId="3" fontId="7" fillId="2" borderId="0" xfId="0" applyNumberFormat="1" applyFont="1" applyFill="1" applyBorder="1" applyAlignment="1" applyProtection="1">
      <alignment horizontal="center" wrapText="1"/>
      <protection hidden="1"/>
    </xf>
    <xf numFmtId="3" fontId="13" fillId="2" borderId="0" xfId="0" applyNumberFormat="1" applyFont="1" applyFill="1" applyBorder="1" applyAlignment="1" applyProtection="1">
      <alignment horizontal="right" wrapText="1"/>
      <protection hidden="1"/>
    </xf>
    <xf numFmtId="0" fontId="66" fillId="0" borderId="0" xfId="0" applyFont="1" applyAlignment="1" applyProtection="1">
      <alignment horizontal="center" vertical="center"/>
      <protection hidden="1"/>
    </xf>
    <xf numFmtId="0" fontId="0" fillId="2" borderId="27" xfId="0" applyFill="1" applyBorder="1" applyAlignment="1" applyProtection="1">
      <alignment vertical="center"/>
      <protection hidden="1"/>
    </xf>
    <xf numFmtId="0" fontId="23" fillId="16" borderId="0" xfId="0" quotePrefix="1" applyFont="1" applyFill="1" applyBorder="1" applyAlignment="1" applyProtection="1">
      <alignment horizontal="left" vertical="center" wrapText="1"/>
      <protection hidden="1"/>
    </xf>
    <xf numFmtId="0" fontId="23" fillId="16" borderId="0" xfId="0" applyFont="1" applyFill="1" applyBorder="1" applyAlignment="1" applyProtection="1">
      <alignment horizontal="left" vertical="center" wrapText="1"/>
      <protection hidden="1"/>
    </xf>
    <xf numFmtId="0" fontId="23" fillId="16" borderId="1" xfId="0" quotePrefix="1" applyFont="1" applyFill="1" applyBorder="1" applyAlignment="1" applyProtection="1">
      <alignment vertical="center" wrapText="1"/>
      <protection hidden="1"/>
    </xf>
    <xf numFmtId="0" fontId="26" fillId="16" borderId="0" xfId="0" applyFont="1" applyFill="1" applyBorder="1" applyAlignment="1" applyProtection="1">
      <alignment horizontal="center" vertical="center" wrapText="1"/>
      <protection hidden="1"/>
    </xf>
    <xf numFmtId="0" fontId="26" fillId="16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67" fillId="0" borderId="0" xfId="0" applyFont="1" applyAlignment="1" applyProtection="1">
      <alignment vertical="center"/>
      <protection hidden="1"/>
    </xf>
    <xf numFmtId="0" fontId="29" fillId="16" borderId="1" xfId="0" applyFont="1" applyFill="1" applyBorder="1" applyAlignment="1" applyProtection="1">
      <alignment vertical="center"/>
      <protection hidden="1"/>
    </xf>
    <xf numFmtId="3" fontId="0" fillId="20" borderId="3" xfId="0" applyNumberFormat="1" applyFill="1" applyBorder="1" applyAlignment="1" applyProtection="1">
      <alignment horizontal="center" vertical="center"/>
      <protection locked="0"/>
    </xf>
    <xf numFmtId="4" fontId="0" fillId="20" borderId="3" xfId="0" applyNumberFormat="1" applyFill="1" applyBorder="1" applyAlignment="1" applyProtection="1">
      <alignment horizontal="center" vertical="center"/>
      <protection locked="0"/>
    </xf>
    <xf numFmtId="0" fontId="55" fillId="16" borderId="0" xfId="0" applyFont="1" applyFill="1" applyAlignment="1" applyProtection="1">
      <alignment vertical="top"/>
      <protection hidden="1"/>
    </xf>
    <xf numFmtId="0" fontId="58" fillId="16" borderId="0" xfId="0" applyFont="1" applyFill="1" applyAlignment="1" applyProtection="1">
      <alignment vertical="top"/>
      <protection hidden="1"/>
    </xf>
    <xf numFmtId="0" fontId="8" fillId="16" borderId="0" xfId="0" applyFont="1" applyFill="1" applyAlignment="1" applyProtection="1">
      <alignment vertical="top"/>
      <protection hidden="1"/>
    </xf>
    <xf numFmtId="0" fontId="57" fillId="2" borderId="0" xfId="0" applyFont="1" applyFill="1" applyBorder="1" applyProtection="1">
      <protection hidden="1"/>
    </xf>
    <xf numFmtId="0" fontId="57" fillId="16" borderId="0" xfId="0" applyFont="1" applyFill="1" applyAlignment="1" applyProtection="1">
      <alignment vertical="center"/>
      <protection hidden="1"/>
    </xf>
    <xf numFmtId="0" fontId="58" fillId="16" borderId="0" xfId="0" applyFont="1" applyFill="1" applyAlignment="1" applyProtection="1">
      <alignment vertical="center"/>
      <protection hidden="1"/>
    </xf>
    <xf numFmtId="0" fontId="58" fillId="16" borderId="0" xfId="0" applyFont="1" applyFill="1" applyBorder="1" applyAlignment="1" applyProtection="1">
      <alignment vertical="center"/>
      <protection hidden="1"/>
    </xf>
    <xf numFmtId="0" fontId="58" fillId="16" borderId="0" xfId="0" applyFont="1" applyFill="1" applyAlignment="1" applyProtection="1">
      <alignment vertical="center" wrapText="1"/>
      <protection hidden="1"/>
    </xf>
    <xf numFmtId="0" fontId="57" fillId="16" borderId="0" xfId="0" applyFont="1" applyFill="1" applyAlignment="1" applyProtection="1">
      <alignment vertical="center" wrapText="1"/>
      <protection hidden="1"/>
    </xf>
    <xf numFmtId="0" fontId="57" fillId="16" borderId="0" xfId="0" applyFont="1" applyFill="1" applyBorder="1" applyAlignment="1" applyProtection="1">
      <alignment vertical="center" wrapText="1"/>
      <protection hidden="1"/>
    </xf>
    <xf numFmtId="0" fontId="55" fillId="16" borderId="0" xfId="0" applyFont="1" applyFill="1" applyAlignment="1" applyProtection="1">
      <alignment vertical="center"/>
      <protection hidden="1"/>
    </xf>
    <xf numFmtId="0" fontId="8" fillId="16" borderId="0" xfId="0" applyFont="1" applyFill="1" applyAlignment="1" applyProtection="1">
      <alignment vertical="center"/>
      <protection hidden="1"/>
    </xf>
    <xf numFmtId="0" fontId="57" fillId="16" borderId="0" xfId="0" applyFont="1" applyFill="1" applyBorder="1" applyAlignment="1" applyProtection="1">
      <alignment vertical="center"/>
      <protection hidden="1"/>
    </xf>
    <xf numFmtId="0" fontId="57" fillId="2" borderId="0" xfId="0" applyFont="1" applyFill="1" applyAlignment="1" applyProtection="1">
      <alignment wrapText="1"/>
      <protection hidden="1"/>
    </xf>
    <xf numFmtId="0" fontId="57" fillId="2" borderId="0" xfId="0" applyFont="1" applyFill="1" applyProtection="1">
      <protection hidden="1"/>
    </xf>
    <xf numFmtId="0" fontId="60" fillId="2" borderId="3" xfId="0" applyFont="1" applyFill="1" applyBorder="1" applyAlignment="1" applyProtection="1">
      <alignment horizontal="center" vertical="center" wrapText="1"/>
      <protection hidden="1"/>
    </xf>
    <xf numFmtId="0" fontId="10" fillId="6" borderId="26" xfId="0" applyFont="1" applyFill="1" applyBorder="1" applyAlignment="1" applyProtection="1">
      <alignment horizontal="center" vertical="center" wrapText="1"/>
      <protection hidden="1"/>
    </xf>
    <xf numFmtId="0" fontId="10" fillId="6" borderId="27" xfId="0" applyFont="1" applyFill="1" applyBorder="1" applyAlignment="1" applyProtection="1">
      <alignment horizontal="center" vertical="center" wrapText="1"/>
      <protection hidden="1"/>
    </xf>
    <xf numFmtId="0" fontId="11" fillId="9" borderId="9" xfId="0" applyFont="1" applyFill="1" applyBorder="1" applyAlignment="1" applyProtection="1">
      <alignment vertical="center" wrapText="1"/>
      <protection hidden="1"/>
    </xf>
    <xf numFmtId="0" fontId="11" fillId="9" borderId="9" xfId="0" applyFont="1" applyFill="1" applyBorder="1" applyAlignment="1" applyProtection="1">
      <alignment horizontal="center" vertical="center" wrapText="1"/>
      <protection hidden="1"/>
    </xf>
    <xf numFmtId="0" fontId="11" fillId="9" borderId="15" xfId="0" applyFont="1" applyFill="1" applyBorder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vertical="center" wrapText="1"/>
      <protection hidden="1"/>
    </xf>
    <xf numFmtId="0" fontId="11" fillId="10" borderId="9" xfId="0" applyFont="1" applyFill="1" applyBorder="1" applyAlignment="1" applyProtection="1">
      <alignment horizontal="center" vertical="center" wrapText="1"/>
      <protection hidden="1"/>
    </xf>
    <xf numFmtId="0" fontId="11" fillId="16" borderId="27" xfId="0" applyFont="1" applyFill="1" applyBorder="1" applyAlignment="1" applyProtection="1">
      <alignment vertical="center" wrapText="1"/>
      <protection hidden="1"/>
    </xf>
    <xf numFmtId="0" fontId="11" fillId="16" borderId="27" xfId="0" applyFont="1" applyFill="1" applyBorder="1" applyAlignment="1" applyProtection="1">
      <alignment horizontal="center" vertical="center" wrapText="1"/>
      <protection hidden="1"/>
    </xf>
    <xf numFmtId="0" fontId="11" fillId="16" borderId="9" xfId="0" applyFont="1" applyFill="1" applyBorder="1" applyAlignment="1" applyProtection="1">
      <alignment vertical="center" wrapText="1"/>
      <protection hidden="1"/>
    </xf>
    <xf numFmtId="0" fontId="11" fillId="16" borderId="9" xfId="0" applyFont="1" applyFill="1" applyBorder="1" applyAlignment="1" applyProtection="1">
      <alignment horizontal="center" vertical="center" wrapText="1"/>
      <protection hidden="1"/>
    </xf>
    <xf numFmtId="0" fontId="11" fillId="16" borderId="9" xfId="0" applyNumberFormat="1" applyFont="1" applyFill="1" applyBorder="1" applyAlignment="1" applyProtection="1">
      <alignment horizontal="center" vertical="center" wrapText="1"/>
      <protection hidden="1"/>
    </xf>
    <xf numFmtId="0" fontId="11" fillId="8" borderId="9" xfId="0" applyFont="1" applyFill="1" applyBorder="1" applyAlignment="1" applyProtection="1">
      <alignment vertical="center" wrapText="1"/>
      <protection hidden="1"/>
    </xf>
    <xf numFmtId="0" fontId="11" fillId="8" borderId="9" xfId="0" applyFont="1" applyFill="1" applyBorder="1" applyAlignment="1" applyProtection="1">
      <alignment horizontal="center" vertical="center" wrapText="1"/>
      <protection hidden="1"/>
    </xf>
    <xf numFmtId="0" fontId="11" fillId="12" borderId="9" xfId="0" applyFont="1" applyFill="1" applyBorder="1" applyAlignment="1" applyProtection="1">
      <alignment vertical="center" wrapText="1"/>
      <protection hidden="1"/>
    </xf>
    <xf numFmtId="0" fontId="11" fillId="12" borderId="9" xfId="0" applyFont="1" applyFill="1" applyBorder="1" applyAlignment="1" applyProtection="1">
      <alignment horizontal="center" vertical="center" wrapText="1"/>
      <protection hidden="1"/>
    </xf>
    <xf numFmtId="0" fontId="10" fillId="6" borderId="21" xfId="0" applyFont="1" applyFill="1" applyBorder="1" applyAlignment="1" applyProtection="1">
      <alignment horizontal="center" vertical="center" wrapText="1"/>
      <protection hidden="1"/>
    </xf>
    <xf numFmtId="0" fontId="21" fillId="10" borderId="27" xfId="0" applyFont="1" applyFill="1" applyBorder="1" applyAlignment="1" applyProtection="1">
      <alignment horizontal="left" vertical="center" wrapText="1"/>
      <protection hidden="1"/>
    </xf>
    <xf numFmtId="0" fontId="21" fillId="10" borderId="27" xfId="0" applyFont="1" applyFill="1" applyBorder="1" applyAlignment="1" applyProtection="1">
      <alignment horizontal="center" vertical="center" wrapText="1"/>
      <protection hidden="1"/>
    </xf>
    <xf numFmtId="0" fontId="21" fillId="10" borderId="17" xfId="0" applyFont="1" applyFill="1" applyBorder="1" applyAlignment="1" applyProtection="1">
      <alignment horizontal="center" vertical="center" wrapText="1"/>
      <protection hidden="1"/>
    </xf>
    <xf numFmtId="0" fontId="21" fillId="9" borderId="35" xfId="0" applyFont="1" applyFill="1" applyBorder="1" applyAlignment="1" applyProtection="1">
      <alignment horizontal="center" vertical="center" wrapText="1"/>
      <protection hidden="1"/>
    </xf>
    <xf numFmtId="0" fontId="21" fillId="15" borderId="27" xfId="0" applyFont="1" applyFill="1" applyBorder="1" applyAlignment="1" applyProtection="1">
      <alignment horizontal="left" vertical="center" wrapText="1"/>
      <protection hidden="1"/>
    </xf>
    <xf numFmtId="0" fontId="21" fillId="15" borderId="27" xfId="0" applyFont="1" applyFill="1" applyBorder="1" applyAlignment="1" applyProtection="1">
      <alignment horizontal="center" vertical="center" wrapText="1"/>
      <protection hidden="1"/>
    </xf>
    <xf numFmtId="6" fontId="21" fillId="15" borderId="17" xfId="0" applyNumberFormat="1" applyFont="1" applyFill="1" applyBorder="1" applyAlignment="1" applyProtection="1">
      <alignment horizontal="center" vertical="center" wrapText="1"/>
      <protection hidden="1"/>
    </xf>
    <xf numFmtId="6" fontId="11" fillId="15" borderId="8" xfId="0" applyNumberFormat="1" applyFont="1" applyFill="1" applyBorder="1" applyAlignment="1" applyProtection="1">
      <alignment horizontal="center" vertical="center" wrapText="1"/>
      <protection hidden="1"/>
    </xf>
    <xf numFmtId="0" fontId="11" fillId="11" borderId="27" xfId="0" applyFont="1" applyFill="1" applyBorder="1" applyAlignment="1" applyProtection="1">
      <alignment vertical="center" wrapText="1"/>
      <protection hidden="1"/>
    </xf>
    <xf numFmtId="0" fontId="11" fillId="11" borderId="27" xfId="0" applyFont="1" applyFill="1" applyBorder="1" applyAlignment="1" applyProtection="1">
      <alignment horizontal="center" vertical="center" wrapText="1"/>
      <protection hidden="1"/>
    </xf>
    <xf numFmtId="0" fontId="11" fillId="11" borderId="17" xfId="0" applyFont="1" applyFill="1" applyBorder="1" applyAlignment="1" applyProtection="1">
      <alignment horizontal="center" vertical="center" wrapText="1"/>
      <protection hidden="1"/>
    </xf>
    <xf numFmtId="0" fontId="11" fillId="9" borderId="35" xfId="0" applyFont="1" applyFill="1" applyBorder="1" applyAlignment="1" applyProtection="1">
      <alignment horizontal="center" vertical="center" wrapText="1"/>
      <protection hidden="1"/>
    </xf>
    <xf numFmtId="0" fontId="11" fillId="11" borderId="9" xfId="0" applyFont="1" applyFill="1" applyBorder="1" applyAlignment="1" applyProtection="1">
      <alignment vertical="center" wrapText="1"/>
      <protection hidden="1"/>
    </xf>
    <xf numFmtId="0" fontId="11" fillId="11" borderId="9" xfId="0" applyFont="1" applyFill="1" applyBorder="1" applyAlignment="1" applyProtection="1">
      <alignment horizontal="center" vertical="center" wrapText="1"/>
      <protection hidden="1"/>
    </xf>
    <xf numFmtId="0" fontId="11" fillId="11" borderId="8" xfId="0" applyFont="1" applyFill="1" applyBorder="1" applyAlignment="1" applyProtection="1">
      <alignment horizontal="center" vertical="center" wrapText="1"/>
      <protection hidden="1"/>
    </xf>
    <xf numFmtId="0" fontId="11" fillId="9" borderId="22" xfId="0" applyFont="1" applyFill="1" applyBorder="1" applyAlignment="1" applyProtection="1">
      <alignment horizontal="center" vertical="center" wrapText="1"/>
      <protection hidden="1"/>
    </xf>
    <xf numFmtId="0" fontId="11" fillId="7" borderId="27" xfId="0" applyFont="1" applyFill="1" applyBorder="1" applyAlignment="1" applyProtection="1">
      <alignment vertical="center" wrapText="1"/>
      <protection hidden="1"/>
    </xf>
    <xf numFmtId="0" fontId="11" fillId="7" borderId="27" xfId="0" applyFont="1" applyFill="1" applyBorder="1" applyAlignment="1" applyProtection="1">
      <alignment horizontal="center" vertical="center" wrapText="1"/>
      <protection hidden="1"/>
    </xf>
    <xf numFmtId="0" fontId="11" fillId="7" borderId="9" xfId="0" applyFont="1" applyFill="1" applyBorder="1" applyAlignment="1" applyProtection="1">
      <alignment horizontal="center" vertical="center" wrapText="1"/>
      <protection hidden="1"/>
    </xf>
    <xf numFmtId="0" fontId="57" fillId="0" borderId="0" xfId="0" applyFont="1" applyFill="1" applyAlignment="1" applyProtection="1">
      <alignment horizontal="center" vertical="top"/>
      <protection locked="0"/>
    </xf>
    <xf numFmtId="0" fontId="58" fillId="0" borderId="0" xfId="0" applyFont="1" applyFill="1" applyBorder="1" applyAlignment="1" applyProtection="1">
      <alignment vertical="center"/>
      <protection locked="0"/>
    </xf>
    <xf numFmtId="0" fontId="57" fillId="0" borderId="0" xfId="0" applyFont="1" applyFill="1" applyBorder="1" applyAlignment="1" applyProtection="1">
      <alignment vertical="center" wrapText="1"/>
      <protection locked="0"/>
    </xf>
    <xf numFmtId="0" fontId="58" fillId="0" borderId="0" xfId="0" applyFont="1" applyFill="1" applyAlignment="1" applyProtection="1">
      <alignment vertical="top"/>
      <protection locked="0"/>
    </xf>
    <xf numFmtId="0" fontId="57" fillId="0" borderId="0" xfId="0" applyFont="1" applyFill="1" applyBorder="1" applyAlignment="1" applyProtection="1">
      <alignment vertical="center"/>
      <protection locked="0"/>
    </xf>
    <xf numFmtId="1" fontId="0" fillId="20" borderId="18" xfId="0" applyNumberForma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Border="1" applyAlignment="1" applyProtection="1">
      <alignment vertical="center" wrapText="1"/>
      <protection hidden="1"/>
    </xf>
    <xf numFmtId="0" fontId="12" fillId="2" borderId="0" xfId="0" applyFont="1" applyFill="1" applyBorder="1" applyAlignment="1" applyProtection="1"/>
    <xf numFmtId="0" fontId="57" fillId="2" borderId="0" xfId="0" applyFont="1" applyFill="1" applyBorder="1" applyProtection="1"/>
    <xf numFmtId="0" fontId="57" fillId="2" borderId="1" xfId="0" applyFont="1" applyFill="1" applyBorder="1" applyProtection="1"/>
    <xf numFmtId="0" fontId="57" fillId="0" borderId="15" xfId="0" applyFont="1" applyFill="1" applyBorder="1" applyAlignment="1" applyProtection="1">
      <alignment vertical="top"/>
    </xf>
    <xf numFmtId="0" fontId="57" fillId="0" borderId="0" xfId="0" applyFont="1" applyFill="1" applyAlignment="1" applyProtection="1">
      <alignment vertical="top"/>
    </xf>
    <xf numFmtId="0" fontId="58" fillId="2" borderId="0" xfId="0" applyFont="1" applyFill="1" applyAlignment="1" applyProtection="1">
      <alignment horizontal="left" vertical="top"/>
    </xf>
    <xf numFmtId="0" fontId="7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57" fillId="0" borderId="0" xfId="0" applyFont="1" applyFill="1" applyBorder="1" applyAlignment="1" applyProtection="1">
      <alignment vertical="center"/>
    </xf>
    <xf numFmtId="0" fontId="58" fillId="0" borderId="0" xfId="0" applyFont="1" applyFill="1" applyBorder="1" applyAlignment="1" applyProtection="1">
      <alignment vertical="center"/>
    </xf>
    <xf numFmtId="0" fontId="58" fillId="0" borderId="15" xfId="0" applyFont="1" applyFill="1" applyBorder="1" applyAlignment="1" applyProtection="1">
      <alignment vertical="center"/>
    </xf>
    <xf numFmtId="0" fontId="58" fillId="0" borderId="0" xfId="0" applyFont="1" applyFill="1" applyAlignment="1" applyProtection="1">
      <alignment vertical="center"/>
    </xf>
    <xf numFmtId="0" fontId="58" fillId="2" borderId="0" xfId="0" applyFont="1" applyFill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top"/>
    </xf>
    <xf numFmtId="0" fontId="58" fillId="0" borderId="0" xfId="0" applyFont="1" applyFill="1" applyAlignment="1" applyProtection="1">
      <alignment vertical="center" wrapText="1"/>
    </xf>
    <xf numFmtId="0" fontId="58" fillId="0" borderId="0" xfId="0" applyFont="1" applyFill="1" applyAlignment="1" applyProtection="1">
      <alignment horizontal="left" vertical="center" wrapText="1"/>
    </xf>
    <xf numFmtId="0" fontId="57" fillId="0" borderId="0" xfId="0" applyFont="1" applyFill="1" applyAlignment="1" applyProtection="1">
      <alignment vertical="center" wrapText="1"/>
    </xf>
    <xf numFmtId="0" fontId="57" fillId="0" borderId="0" xfId="0" applyFont="1" applyFill="1" applyBorder="1" applyAlignment="1" applyProtection="1">
      <alignment vertical="center" wrapText="1"/>
    </xf>
    <xf numFmtId="0" fontId="58" fillId="2" borderId="0" xfId="0" applyFont="1" applyFill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top"/>
    </xf>
    <xf numFmtId="0" fontId="58" fillId="0" borderId="0" xfId="0" applyFont="1" applyFill="1" applyBorder="1" applyAlignment="1" applyProtection="1">
      <alignment vertical="top"/>
    </xf>
    <xf numFmtId="0" fontId="58" fillId="0" borderId="15" xfId="0" applyFont="1" applyFill="1" applyBorder="1" applyAlignment="1" applyProtection="1">
      <alignment vertical="top"/>
    </xf>
    <xf numFmtId="0" fontId="58" fillId="0" borderId="0" xfId="0" applyFont="1" applyFill="1" applyAlignment="1" applyProtection="1">
      <alignment vertical="top"/>
    </xf>
    <xf numFmtId="0" fontId="58" fillId="2" borderId="0" xfId="0" applyFont="1" applyFill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58" fillId="0" borderId="0" xfId="0" applyFont="1" applyFill="1" applyBorder="1" applyAlignment="1" applyProtection="1">
      <alignment vertical="center" wrapText="1"/>
    </xf>
    <xf numFmtId="0" fontId="58" fillId="0" borderId="15" xfId="0" applyFont="1" applyFill="1" applyBorder="1" applyAlignment="1" applyProtection="1">
      <alignment vertical="center" wrapText="1"/>
    </xf>
    <xf numFmtId="0" fontId="57" fillId="0" borderId="0" xfId="0" applyFont="1" applyFill="1" applyAlignment="1" applyProtection="1">
      <alignment vertical="center"/>
    </xf>
    <xf numFmtId="0" fontId="0" fillId="2" borderId="0" xfId="0" applyFont="1" applyFill="1" applyBorder="1" applyProtection="1"/>
    <xf numFmtId="0" fontId="7" fillId="2" borderId="0" xfId="0" applyFont="1" applyFill="1" applyBorder="1" applyProtection="1"/>
    <xf numFmtId="0" fontId="58" fillId="2" borderId="0" xfId="0" applyFont="1" applyFill="1" applyBorder="1" applyProtection="1"/>
    <xf numFmtId="0" fontId="58" fillId="2" borderId="15" xfId="0" applyFont="1" applyFill="1" applyBorder="1" applyProtection="1"/>
    <xf numFmtId="0" fontId="57" fillId="0" borderId="0" xfId="0" applyFont="1" applyBorder="1" applyAlignment="1" applyProtection="1">
      <alignment wrapText="1"/>
    </xf>
    <xf numFmtId="0" fontId="61" fillId="2" borderId="15" xfId="0" applyFont="1" applyFill="1" applyBorder="1" applyAlignment="1" applyProtection="1">
      <alignment horizontal="right" vertical="center"/>
    </xf>
    <xf numFmtId="0" fontId="57" fillId="2" borderId="0" xfId="0" applyFont="1" applyFill="1" applyBorder="1" applyAlignment="1" applyProtection="1">
      <alignment wrapText="1"/>
    </xf>
    <xf numFmtId="0" fontId="12" fillId="2" borderId="2" xfId="0" applyFont="1" applyFill="1" applyBorder="1" applyAlignment="1" applyProtection="1"/>
    <xf numFmtId="0" fontId="0" fillId="0" borderId="8" xfId="0" applyFont="1" applyBorder="1" applyAlignment="1" applyProtection="1">
      <alignment wrapText="1"/>
    </xf>
    <xf numFmtId="0" fontId="66" fillId="2" borderId="8" xfId="0" applyFont="1" applyFill="1" applyBorder="1" applyAlignment="1" applyProtection="1">
      <alignment horizontal="center" vertical="center"/>
    </xf>
    <xf numFmtId="0" fontId="57" fillId="0" borderId="8" xfId="0" applyFont="1" applyBorder="1" applyAlignment="1" applyProtection="1">
      <alignment wrapText="1"/>
    </xf>
    <xf numFmtId="0" fontId="57" fillId="2" borderId="8" xfId="0" applyFont="1" applyFill="1" applyBorder="1" applyProtection="1"/>
    <xf numFmtId="0" fontId="61" fillId="2" borderId="9" xfId="0" applyFont="1" applyFill="1" applyBorder="1" applyAlignment="1" applyProtection="1">
      <alignment horizontal="right" vertical="center"/>
    </xf>
    <xf numFmtId="0" fontId="6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/>
    </xf>
    <xf numFmtId="0" fontId="44" fillId="2" borderId="18" xfId="0" applyFont="1" applyFill="1" applyBorder="1" applyAlignment="1" applyProtection="1">
      <alignment horizontal="center" vertical="center" wrapText="1"/>
      <protection hidden="1"/>
    </xf>
    <xf numFmtId="0" fontId="51" fillId="2" borderId="0" xfId="0" applyFont="1" applyFill="1" applyBorder="1" applyAlignment="1" applyProtection="1">
      <alignment horizontal="left" vertical="center" wrapText="1"/>
      <protection hidden="1"/>
    </xf>
    <xf numFmtId="173" fontId="7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 wrapText="1"/>
      <protection hidden="1"/>
    </xf>
    <xf numFmtId="0" fontId="29" fillId="16" borderId="1" xfId="0" applyFont="1" applyFill="1" applyBorder="1" applyAlignment="1" applyProtection="1">
      <alignment horizontal="left" vertical="center"/>
      <protection hidden="1"/>
    </xf>
    <xf numFmtId="10" fontId="0" fillId="0" borderId="9" xfId="0" applyNumberFormat="1" applyBorder="1" applyAlignment="1" applyProtection="1">
      <alignment horizontal="center" vertical="center"/>
      <protection hidden="1"/>
    </xf>
    <xf numFmtId="0" fontId="7" fillId="22" borderId="41" xfId="0" applyNumberFormat="1" applyFont="1" applyFill="1" applyBorder="1" applyAlignment="1" applyProtection="1">
      <alignment horizontal="center" vertical="center"/>
      <protection hidden="1"/>
    </xf>
    <xf numFmtId="0" fontId="7" fillId="8" borderId="26" xfId="0" applyFont="1" applyFill="1" applyBorder="1" applyAlignment="1" applyProtection="1">
      <alignment horizontal="center" vertical="center" wrapText="1"/>
      <protection hidden="1"/>
    </xf>
    <xf numFmtId="44" fontId="7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left" vertical="center"/>
      <protection hidden="1"/>
    </xf>
    <xf numFmtId="44" fontId="71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 applyProtection="1">
      <alignment vertical="center"/>
      <protection hidden="1"/>
    </xf>
    <xf numFmtId="164" fontId="7" fillId="0" borderId="15" xfId="0" applyNumberFormat="1" applyFont="1" applyFill="1" applyBorder="1" applyAlignment="1" applyProtection="1">
      <alignment horizontal="center" vertical="center"/>
      <protection hidden="1"/>
    </xf>
    <xf numFmtId="0" fontId="0" fillId="0" borderId="35" xfId="0" applyBorder="1" applyProtection="1">
      <protection hidden="1"/>
    </xf>
    <xf numFmtId="0" fontId="0" fillId="0" borderId="22" xfId="0" applyBorder="1" applyProtection="1">
      <protection hidden="1"/>
    </xf>
    <xf numFmtId="0" fontId="7" fillId="0" borderId="6" xfId="0" applyFont="1" applyBorder="1" applyAlignment="1" applyProtection="1">
      <alignment horizontal="center" wrapText="1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protection hidden="1"/>
    </xf>
    <xf numFmtId="9" fontId="0" fillId="0" borderId="0" xfId="0" applyNumberFormat="1" applyBorder="1" applyProtection="1">
      <protection hidden="1"/>
    </xf>
    <xf numFmtId="1" fontId="6" fillId="0" borderId="0" xfId="0" applyNumberFormat="1" applyFont="1" applyBorder="1" applyAlignment="1" applyProtection="1">
      <alignment vertical="center"/>
      <protection hidden="1"/>
    </xf>
    <xf numFmtId="167" fontId="13" fillId="2" borderId="6" xfId="0" applyNumberFormat="1" applyFont="1" applyFill="1" applyBorder="1" applyAlignment="1" applyProtection="1"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vertical="center"/>
      <protection hidden="1"/>
    </xf>
    <xf numFmtId="0" fontId="0" fillId="2" borderId="8" xfId="0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167" fontId="37" fillId="16" borderId="22" xfId="0" applyNumberFormat="1" applyFont="1" applyFill="1" applyBorder="1" applyAlignment="1" applyProtection="1">
      <protection hidden="1"/>
    </xf>
    <xf numFmtId="10" fontId="37" fillId="16" borderId="22" xfId="0" applyNumberFormat="1" applyFont="1" applyFill="1" applyBorder="1" applyAlignment="1" applyProtection="1">
      <protection hidden="1"/>
    </xf>
    <xf numFmtId="14" fontId="0" fillId="0" borderId="0" xfId="0" applyNumberFormat="1" applyFont="1" applyFill="1" applyBorder="1" applyAlignment="1" applyProtection="1">
      <alignment horizontal="center" vertical="top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0" fillId="0" borderId="1" xfId="0" applyFill="1" applyBorder="1" applyAlignment="1" applyProtection="1">
      <alignment vertical="center"/>
      <protection hidden="1"/>
    </xf>
    <xf numFmtId="9" fontId="7" fillId="20" borderId="26" xfId="0" applyNumberFormat="1" applyFont="1" applyFill="1" applyBorder="1" applyAlignment="1" applyProtection="1">
      <alignment horizontal="center" vertical="center"/>
    </xf>
    <xf numFmtId="164" fontId="7" fillId="20" borderId="26" xfId="0" applyNumberFormat="1" applyFont="1" applyFill="1" applyBorder="1" applyAlignment="1" applyProtection="1">
      <alignment horizontal="center" vertical="center"/>
      <protection hidden="1"/>
    </xf>
    <xf numFmtId="164" fontId="7" fillId="20" borderId="26" xfId="0" applyNumberFormat="1" applyFont="1" applyFill="1" applyBorder="1" applyAlignment="1" applyProtection="1">
      <alignment horizontal="center" vertical="center" wrapText="1"/>
      <protection hidden="1"/>
    </xf>
    <xf numFmtId="44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/>
    <xf numFmtId="0" fontId="0" fillId="0" borderId="15" xfId="0" applyBorder="1" applyAlignment="1"/>
    <xf numFmtId="167" fontId="37" fillId="16" borderId="26" xfId="0" applyNumberFormat="1" applyFont="1" applyFill="1" applyBorder="1" applyAlignment="1" applyProtection="1">
      <protection hidden="1"/>
    </xf>
    <xf numFmtId="0" fontId="0" fillId="0" borderId="35" xfId="0" applyBorder="1" applyAlignment="1" applyProtection="1">
      <protection hidden="1"/>
    </xf>
    <xf numFmtId="0" fontId="0" fillId="0" borderId="35" xfId="0" applyBorder="1" applyAlignment="1" applyProtection="1">
      <alignment vertical="center" wrapText="1"/>
      <protection hidden="1"/>
    </xf>
    <xf numFmtId="164" fontId="6" fillId="0" borderId="0" xfId="0" applyNumberFormat="1" applyFont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3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vertical="center" wrapText="1"/>
      <protection hidden="1"/>
    </xf>
    <xf numFmtId="0" fontId="12" fillId="14" borderId="3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3" fontId="0" fillId="0" borderId="0" xfId="0" quotePrefix="1" applyNumberFormat="1" applyBorder="1" applyAlignment="1" applyProtection="1">
      <protection hidden="1"/>
    </xf>
    <xf numFmtId="0" fontId="74" fillId="11" borderId="19" xfId="0" applyFont="1" applyFill="1" applyBorder="1" applyAlignment="1" applyProtection="1">
      <alignment horizontal="left" vertical="top" wrapText="1"/>
      <protection hidden="1"/>
    </xf>
    <xf numFmtId="0" fontId="16" fillId="11" borderId="3" xfId="0" applyFont="1" applyFill="1" applyBorder="1" applyAlignment="1" applyProtection="1">
      <alignment horizontal="center" vertical="center" wrapText="1"/>
      <protection hidden="1"/>
    </xf>
    <xf numFmtId="0" fontId="8" fillId="11" borderId="19" xfId="0" applyFont="1" applyFill="1" applyBorder="1" applyAlignment="1" applyProtection="1">
      <alignment vertical="center" wrapText="1"/>
      <protection hidden="1"/>
    </xf>
    <xf numFmtId="0" fontId="74" fillId="11" borderId="43" xfId="0" applyFont="1" applyFill="1" applyBorder="1" applyAlignment="1" applyProtection="1">
      <alignment horizontal="left" vertical="top" wrapText="1"/>
      <protection hidden="1"/>
    </xf>
    <xf numFmtId="0" fontId="74" fillId="11" borderId="28" xfId="0" applyFont="1" applyFill="1" applyBorder="1" applyAlignment="1" applyProtection="1">
      <alignment horizontal="left" vertical="top" wrapText="1"/>
      <protection hidden="1"/>
    </xf>
    <xf numFmtId="167" fontId="0" fillId="20" borderId="3" xfId="0" applyNumberFormat="1" applyFill="1" applyBorder="1" applyAlignment="1" applyProtection="1">
      <alignment horizontal="center" vertical="center"/>
      <protection hidden="1"/>
    </xf>
    <xf numFmtId="164" fontId="0" fillId="20" borderId="3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76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 applyProtection="1">
      <alignment wrapText="1"/>
    </xf>
    <xf numFmtId="0" fontId="66" fillId="2" borderId="0" xfId="0" applyFont="1" applyFill="1" applyBorder="1" applyAlignment="1" applyProtection="1">
      <alignment horizontal="center" vertical="center"/>
    </xf>
    <xf numFmtId="0" fontId="61" fillId="2" borderId="0" xfId="0" applyFont="1" applyFill="1" applyBorder="1" applyAlignment="1" applyProtection="1">
      <alignment horizontal="right" vertical="center"/>
    </xf>
    <xf numFmtId="0" fontId="8" fillId="20" borderId="61" xfId="0" applyFont="1" applyFill="1" applyBorder="1" applyAlignment="1" applyProtection="1">
      <alignment horizontal="center" vertical="center" wrapText="1"/>
      <protection hidden="1"/>
    </xf>
    <xf numFmtId="4" fontId="0" fillId="20" borderId="14" xfId="0" applyNumberFormat="1" applyFill="1" applyBorder="1" applyAlignment="1" applyProtection="1">
      <alignment horizontal="center" vertical="center"/>
      <protection hidden="1"/>
    </xf>
    <xf numFmtId="0" fontId="8" fillId="20" borderId="44" xfId="0" applyFont="1" applyFill="1" applyBorder="1" applyAlignment="1" applyProtection="1">
      <alignment horizontal="center" vertical="center" wrapText="1"/>
      <protection hidden="1"/>
    </xf>
    <xf numFmtId="0" fontId="8" fillId="20" borderId="32" xfId="0" applyFont="1" applyFill="1" applyBorder="1" applyAlignment="1" applyProtection="1">
      <alignment horizontal="center" vertical="center" wrapText="1"/>
      <protection hidden="1"/>
    </xf>
    <xf numFmtId="0" fontId="8" fillId="20" borderId="61" xfId="0" applyFont="1" applyFill="1" applyBorder="1" applyAlignment="1" applyProtection="1">
      <alignment horizontal="center" vertical="center" wrapText="1"/>
      <protection hidden="1"/>
    </xf>
    <xf numFmtId="0" fontId="7" fillId="2" borderId="27" xfId="0" applyFont="1" applyFill="1" applyBorder="1" applyAlignment="1" applyProtection="1">
      <alignment horizontal="center" vertical="center" wrapText="1"/>
      <protection hidden="1"/>
    </xf>
    <xf numFmtId="14" fontId="0" fillId="23" borderId="3" xfId="0" applyNumberFormat="1" applyFont="1" applyFill="1" applyBorder="1" applyAlignment="1" applyProtection="1">
      <alignment horizontal="center" vertical="top"/>
      <protection locked="0"/>
    </xf>
    <xf numFmtId="0" fontId="16" fillId="23" borderId="3" xfId="0" applyFont="1" applyFill="1" applyBorder="1" applyAlignment="1" applyProtection="1">
      <alignment vertical="center"/>
      <protection locked="0"/>
    </xf>
    <xf numFmtId="0" fontId="0" fillId="23" borderId="50" xfId="0" applyFill="1" applyBorder="1" applyAlignment="1" applyProtection="1">
      <alignment horizontal="left" vertical="center"/>
      <protection locked="0"/>
    </xf>
    <xf numFmtId="3" fontId="0" fillId="23" borderId="3" xfId="0" applyNumberFormat="1" applyFill="1" applyBorder="1" applyAlignment="1" applyProtection="1">
      <alignment horizontal="left" vertical="center"/>
      <protection locked="0"/>
    </xf>
    <xf numFmtId="0" fontId="0" fillId="23" borderId="3" xfId="0" applyFill="1" applyBorder="1" applyAlignment="1" applyProtection="1">
      <alignment horizontal="left" vertical="center"/>
      <protection locked="0"/>
    </xf>
    <xf numFmtId="0" fontId="56" fillId="23" borderId="3" xfId="8" applyFill="1" applyBorder="1" applyAlignment="1" applyProtection="1">
      <alignment horizontal="left" vertical="center"/>
      <protection locked="0"/>
    </xf>
    <xf numFmtId="0" fontId="0" fillId="23" borderId="3" xfId="0" applyFill="1" applyBorder="1" applyAlignment="1" applyProtection="1">
      <alignment horizontal="center" vertical="center"/>
      <protection locked="0"/>
    </xf>
    <xf numFmtId="14" fontId="0" fillId="23" borderId="3" xfId="0" applyNumberFormat="1" applyFill="1" applyBorder="1" applyAlignment="1" applyProtection="1">
      <alignment horizontal="left" vertical="center"/>
      <protection locked="0"/>
    </xf>
    <xf numFmtId="2" fontId="0" fillId="23" borderId="3" xfId="0" applyNumberFormat="1" applyFill="1" applyBorder="1" applyAlignment="1" applyProtection="1">
      <alignment horizontal="left" vertical="center"/>
      <protection locked="0"/>
    </xf>
    <xf numFmtId="0" fontId="7" fillId="23" borderId="3" xfId="0" applyFont="1" applyFill="1" applyBorder="1" applyAlignment="1" applyProtection="1">
      <alignment horizontal="center" vertical="center"/>
      <protection locked="0"/>
    </xf>
    <xf numFmtId="2" fontId="0" fillId="23" borderId="3" xfId="0" applyNumberFormat="1" applyFill="1" applyBorder="1" applyAlignment="1" applyProtection="1">
      <alignment horizontal="center" vertical="center"/>
      <protection locked="0"/>
    </xf>
    <xf numFmtId="3" fontId="0" fillId="23" borderId="3" xfId="0" applyNumberFormat="1" applyFill="1" applyBorder="1" applyAlignment="1" applyProtection="1">
      <alignment horizontal="center" vertical="center"/>
      <protection locked="0"/>
    </xf>
    <xf numFmtId="2" fontId="12" fillId="23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3" borderId="3" xfId="0" applyFont="1" applyFill="1" applyBorder="1" applyAlignment="1" applyProtection="1">
      <alignment horizontal="center" vertical="center" wrapText="1"/>
      <protection locked="0"/>
    </xf>
    <xf numFmtId="167" fontId="5" fillId="23" borderId="3" xfId="1" applyNumberFormat="1" applyFont="1" applyFill="1" applyBorder="1" applyAlignment="1" applyProtection="1">
      <alignment horizontal="center" vertical="center"/>
      <protection locked="0"/>
    </xf>
    <xf numFmtId="0" fontId="7" fillId="23" borderId="3" xfId="0" applyFont="1" applyFill="1" applyBorder="1" applyAlignment="1" applyProtection="1">
      <alignment horizontal="center" vertical="center" wrapText="1"/>
      <protection locked="0"/>
    </xf>
    <xf numFmtId="3" fontId="0" fillId="23" borderId="3" xfId="0" applyNumberFormat="1" applyFont="1" applyFill="1" applyBorder="1" applyAlignment="1" applyProtection="1">
      <alignment horizontal="center" vertical="center"/>
      <protection locked="0"/>
    </xf>
    <xf numFmtId="0" fontId="0" fillId="23" borderId="3" xfId="0" applyFill="1" applyBorder="1" applyAlignment="1" applyProtection="1">
      <alignment horizontal="left" vertical="center" wrapText="1"/>
      <protection locked="0"/>
    </xf>
    <xf numFmtId="0" fontId="0" fillId="23" borderId="3" xfId="0" applyFill="1" applyBorder="1" applyAlignment="1" applyProtection="1">
      <alignment horizontal="center" vertical="center" wrapText="1"/>
      <protection locked="0"/>
    </xf>
    <xf numFmtId="3" fontId="0" fillId="23" borderId="23" xfId="0" applyNumberFormat="1" applyFill="1" applyBorder="1" applyAlignment="1" applyProtection="1">
      <alignment horizontal="center" vertical="center"/>
      <protection locked="0"/>
    </xf>
    <xf numFmtId="3" fontId="0" fillId="23" borderId="23" xfId="4" applyNumberFormat="1" applyFont="1" applyFill="1" applyBorder="1" applyAlignment="1" applyProtection="1">
      <alignment horizontal="center" vertical="center"/>
      <protection locked="0"/>
    </xf>
    <xf numFmtId="3" fontId="0" fillId="23" borderId="3" xfId="4" applyNumberFormat="1" applyFont="1" applyFill="1" applyBorder="1" applyAlignment="1" applyProtection="1">
      <alignment horizontal="center" vertical="center"/>
      <protection locked="0"/>
    </xf>
    <xf numFmtId="3" fontId="5" fillId="23" borderId="18" xfId="1" applyNumberFormat="1" applyFont="1" applyFill="1" applyBorder="1" applyAlignment="1" applyProtection="1">
      <alignment horizontal="center" vertical="center"/>
      <protection locked="0"/>
    </xf>
    <xf numFmtId="167" fontId="5" fillId="23" borderId="43" xfId="1" applyNumberFormat="1" applyFont="1" applyFill="1" applyBorder="1" applyAlignment="1" applyProtection="1">
      <alignment horizontal="center" vertical="center"/>
      <protection locked="0"/>
    </xf>
    <xf numFmtId="167" fontId="5" fillId="23" borderId="23" xfId="1" applyNumberFormat="1" applyFont="1" applyFill="1" applyBorder="1" applyAlignment="1" applyProtection="1">
      <alignment horizontal="center" vertical="center"/>
      <protection locked="0"/>
    </xf>
    <xf numFmtId="167" fontId="5" fillId="23" borderId="18" xfId="1" applyNumberFormat="1" applyFont="1" applyFill="1" applyBorder="1" applyAlignment="1" applyProtection="1">
      <alignment horizontal="center" vertical="center"/>
      <protection locked="0"/>
    </xf>
    <xf numFmtId="167" fontId="5" fillId="23" borderId="24" xfId="1" applyNumberFormat="1" applyFont="1" applyFill="1" applyBorder="1" applyAlignment="1" applyProtection="1">
      <alignment horizontal="center" vertical="center"/>
      <protection locked="0"/>
    </xf>
    <xf numFmtId="167" fontId="5" fillId="23" borderId="29" xfId="1" applyNumberFormat="1" applyFont="1" applyFill="1" applyBorder="1" applyAlignment="1" applyProtection="1">
      <alignment horizontal="center" vertical="center"/>
      <protection locked="0"/>
    </xf>
    <xf numFmtId="0" fontId="0" fillId="23" borderId="18" xfId="0" applyFill="1" applyBorder="1" applyAlignment="1" applyProtection="1">
      <alignment horizontal="center" vertical="center"/>
      <protection locked="0"/>
    </xf>
    <xf numFmtId="0" fontId="0" fillId="23" borderId="14" xfId="0" applyFill="1" applyBorder="1" applyAlignment="1" applyProtection="1">
      <alignment horizontal="left" vertical="center" wrapText="1"/>
      <protection locked="0"/>
    </xf>
    <xf numFmtId="0" fontId="0" fillId="23" borderId="14" xfId="0" applyFill="1" applyBorder="1" applyAlignment="1" applyProtection="1">
      <alignment horizontal="center" vertical="center" wrapText="1"/>
      <protection locked="0"/>
    </xf>
    <xf numFmtId="3" fontId="0" fillId="23" borderId="14" xfId="0" applyNumberFormat="1" applyFill="1" applyBorder="1" applyAlignment="1" applyProtection="1">
      <alignment horizontal="center" vertical="center"/>
      <protection locked="0"/>
    </xf>
    <xf numFmtId="0" fontId="11" fillId="23" borderId="3" xfId="0" applyFont="1" applyFill="1" applyBorder="1" applyAlignment="1" applyProtection="1">
      <alignment horizontal="center" vertical="center" wrapText="1"/>
      <protection locked="0"/>
    </xf>
    <xf numFmtId="167" fontId="5" fillId="23" borderId="14" xfId="1" applyNumberFormat="1" applyFont="1" applyFill="1" applyBorder="1" applyAlignment="1" applyProtection="1">
      <alignment horizontal="center" vertical="center"/>
      <protection locked="0"/>
    </xf>
    <xf numFmtId="1" fontId="0" fillId="23" borderId="3" xfId="0" applyNumberFormat="1" applyFill="1" applyBorder="1" applyAlignment="1" applyProtection="1">
      <alignment horizontal="center" vertical="center"/>
      <protection locked="0"/>
    </xf>
    <xf numFmtId="0" fontId="0" fillId="23" borderId="14" xfId="0" applyFill="1" applyBorder="1" applyAlignment="1" applyProtection="1">
      <alignment horizontal="center" vertical="center"/>
      <protection locked="0"/>
    </xf>
    <xf numFmtId="0" fontId="11" fillId="23" borderId="14" xfId="0" applyFont="1" applyFill="1" applyBorder="1" applyAlignment="1" applyProtection="1">
      <alignment horizontal="center" vertical="center" wrapText="1"/>
      <protection locked="0"/>
    </xf>
    <xf numFmtId="1" fontId="0" fillId="23" borderId="14" xfId="0" applyNumberFormat="1" applyFill="1" applyBorder="1" applyAlignment="1" applyProtection="1">
      <alignment horizontal="center" vertical="center"/>
      <protection locked="0"/>
    </xf>
    <xf numFmtId="3" fontId="0" fillId="23" borderId="24" xfId="0" applyNumberFormat="1" applyFill="1" applyBorder="1" applyAlignment="1" applyProtection="1">
      <alignment horizontal="center" vertical="center"/>
      <protection locked="0"/>
    </xf>
    <xf numFmtId="3" fontId="0" fillId="23" borderId="24" xfId="4" applyNumberFormat="1" applyFont="1" applyFill="1" applyBorder="1" applyAlignment="1" applyProtection="1">
      <alignment horizontal="center" vertical="center"/>
      <protection locked="0"/>
    </xf>
    <xf numFmtId="3" fontId="0" fillId="23" borderId="14" xfId="4" applyNumberFormat="1" applyFont="1" applyFill="1" applyBorder="1" applyAlignment="1" applyProtection="1">
      <alignment horizontal="center" vertical="center"/>
      <protection locked="0"/>
    </xf>
    <xf numFmtId="168" fontId="0" fillId="23" borderId="3" xfId="0" applyNumberFormat="1" applyFill="1" applyBorder="1" applyAlignment="1" applyProtection="1">
      <alignment horizontal="center" vertical="center"/>
      <protection locked="0"/>
    </xf>
    <xf numFmtId="3" fontId="0" fillId="23" borderId="18" xfId="0" applyNumberFormat="1" applyFill="1" applyBorder="1" applyAlignment="1" applyProtection="1">
      <alignment horizontal="center" vertical="center"/>
      <protection locked="0"/>
    </xf>
    <xf numFmtId="3" fontId="0" fillId="23" borderId="20" xfId="4" applyNumberFormat="1" applyFont="1" applyFill="1" applyBorder="1" applyAlignment="1" applyProtection="1">
      <alignment horizontal="center" vertical="center"/>
      <protection locked="0"/>
    </xf>
    <xf numFmtId="3" fontId="0" fillId="23" borderId="20" xfId="0" applyNumberFormat="1" applyFill="1" applyBorder="1" applyAlignment="1" applyProtection="1">
      <alignment horizontal="center" vertical="center"/>
      <protection locked="0"/>
    </xf>
    <xf numFmtId="3" fontId="0" fillId="23" borderId="40" xfId="4" applyNumberFormat="1" applyFont="1" applyFill="1" applyBorder="1" applyAlignment="1" applyProtection="1">
      <alignment horizontal="center" vertical="center"/>
      <protection locked="0"/>
    </xf>
    <xf numFmtId="0" fontId="0" fillId="23" borderId="14" xfId="0" applyFill="1" applyBorder="1" applyAlignment="1" applyProtection="1">
      <alignment horizontal="left" vertical="center"/>
      <protection locked="0"/>
    </xf>
    <xf numFmtId="168" fontId="0" fillId="23" borderId="14" xfId="0" applyNumberFormat="1" applyFill="1" applyBorder="1" applyAlignment="1" applyProtection="1">
      <alignment horizontal="center" vertical="center"/>
      <protection locked="0"/>
    </xf>
    <xf numFmtId="3" fontId="0" fillId="23" borderId="3" xfId="0" applyNumberFormat="1" applyFill="1" applyBorder="1" applyAlignment="1" applyProtection="1">
      <alignment vertical="center"/>
      <protection locked="0"/>
    </xf>
    <xf numFmtId="3" fontId="0" fillId="23" borderId="10" xfId="0" applyNumberFormat="1" applyFill="1" applyBorder="1" applyAlignment="1" applyProtection="1">
      <alignment vertical="center"/>
      <protection locked="0"/>
    </xf>
    <xf numFmtId="3" fontId="0" fillId="23" borderId="3" xfId="4" applyNumberFormat="1" applyFont="1" applyFill="1" applyBorder="1" applyAlignment="1" applyProtection="1">
      <alignment vertical="center"/>
      <protection locked="0"/>
    </xf>
    <xf numFmtId="167" fontId="0" fillId="23" borderId="3" xfId="1" applyNumberFormat="1" applyFont="1" applyFill="1" applyBorder="1" applyAlignment="1" applyProtection="1">
      <alignment horizontal="center" vertical="center"/>
      <protection locked="0"/>
    </xf>
    <xf numFmtId="44" fontId="5" fillId="23" borderId="3" xfId="1" applyFont="1" applyFill="1" applyBorder="1" applyAlignment="1" applyProtection="1">
      <alignment horizontal="center" vertical="center"/>
      <protection locked="0"/>
    </xf>
    <xf numFmtId="0" fontId="0" fillId="23" borderId="50" xfId="0" applyFill="1" applyBorder="1" applyAlignment="1" applyProtection="1">
      <alignment horizontal="center" vertical="center"/>
      <protection locked="0"/>
    </xf>
    <xf numFmtId="0" fontId="11" fillId="23" borderId="50" xfId="0" applyFont="1" applyFill="1" applyBorder="1" applyAlignment="1" applyProtection="1">
      <alignment horizontal="left" vertical="center" wrapText="1"/>
      <protection locked="0"/>
    </xf>
    <xf numFmtId="3" fontId="11" fillId="23" borderId="50" xfId="0" applyNumberFormat="1" applyFont="1" applyFill="1" applyBorder="1" applyAlignment="1" applyProtection="1">
      <alignment horizontal="center" vertical="center"/>
      <protection locked="0"/>
    </xf>
    <xf numFmtId="0" fontId="11" fillId="23" borderId="3" xfId="0" applyFont="1" applyFill="1" applyBorder="1" applyAlignment="1" applyProtection="1">
      <alignment horizontal="left" vertical="center" wrapText="1"/>
      <protection locked="0"/>
    </xf>
    <xf numFmtId="0" fontId="0" fillId="23" borderId="10" xfId="0" applyFill="1" applyBorder="1" applyAlignment="1" applyProtection="1">
      <alignment horizontal="left" vertical="center"/>
      <protection locked="0"/>
    </xf>
    <xf numFmtId="0" fontId="0" fillId="23" borderId="10" xfId="0" applyFill="1" applyBorder="1" applyAlignment="1" applyProtection="1">
      <alignment horizontal="center" vertical="center"/>
      <protection locked="0"/>
    </xf>
    <xf numFmtId="0" fontId="11" fillId="23" borderId="10" xfId="0" applyFont="1" applyFill="1" applyBorder="1" applyAlignment="1" applyProtection="1">
      <alignment horizontal="left" vertical="center" wrapText="1"/>
      <protection locked="0"/>
    </xf>
    <xf numFmtId="3" fontId="0" fillId="23" borderId="10" xfId="0" applyNumberFormat="1" applyFill="1" applyBorder="1" applyAlignment="1" applyProtection="1">
      <alignment horizontal="center" vertical="center"/>
      <protection locked="0"/>
    </xf>
    <xf numFmtId="0" fontId="11" fillId="23" borderId="50" xfId="0" applyFont="1" applyFill="1" applyBorder="1" applyAlignment="1" applyProtection="1">
      <alignment horizontal="center" vertical="center" wrapText="1"/>
      <protection locked="0"/>
    </xf>
    <xf numFmtId="3" fontId="0" fillId="23" borderId="50" xfId="0" applyNumberFormat="1" applyFill="1" applyBorder="1" applyAlignment="1" applyProtection="1">
      <alignment horizontal="center" vertical="center"/>
      <protection locked="0"/>
    </xf>
    <xf numFmtId="3" fontId="5" fillId="23" borderId="50" xfId="3" applyNumberFormat="1" applyFont="1" applyFill="1" applyBorder="1" applyAlignment="1" applyProtection="1">
      <alignment horizontal="center" vertical="center"/>
      <protection locked="0"/>
    </xf>
    <xf numFmtId="3" fontId="5" fillId="23" borderId="3" xfId="3" applyNumberFormat="1" applyFont="1" applyFill="1" applyBorder="1" applyAlignment="1" applyProtection="1">
      <alignment horizontal="center" vertical="center"/>
      <protection locked="0"/>
    </xf>
    <xf numFmtId="3" fontId="5" fillId="23" borderId="14" xfId="3" applyNumberFormat="1" applyFont="1" applyFill="1" applyBorder="1" applyAlignment="1" applyProtection="1">
      <alignment horizontal="center" vertical="center"/>
      <protection locked="0"/>
    </xf>
    <xf numFmtId="2" fontId="5" fillId="23" borderId="50" xfId="3" applyNumberFormat="1" applyFont="1" applyFill="1" applyBorder="1" applyAlignment="1" applyProtection="1">
      <alignment horizontal="center" vertical="center"/>
      <protection locked="0"/>
    </xf>
    <xf numFmtId="2" fontId="5" fillId="23" borderId="3" xfId="3" applyNumberFormat="1" applyFont="1" applyFill="1" applyBorder="1" applyAlignment="1" applyProtection="1">
      <alignment horizontal="center" vertical="center"/>
      <protection locked="0"/>
    </xf>
    <xf numFmtId="2" fontId="5" fillId="23" borderId="10" xfId="3" applyNumberFormat="1" applyFont="1" applyFill="1" applyBorder="1" applyAlignment="1" applyProtection="1">
      <alignment horizontal="center" vertical="center"/>
      <protection locked="0"/>
    </xf>
    <xf numFmtId="167" fontId="5" fillId="23" borderId="20" xfId="1" applyNumberFormat="1" applyFont="1" applyFill="1" applyBorder="1" applyAlignment="1" applyProtection="1">
      <alignment horizontal="center" vertical="center"/>
      <protection locked="0"/>
    </xf>
    <xf numFmtId="167" fontId="5" fillId="23" borderId="10" xfId="1" applyNumberFormat="1" applyFont="1" applyFill="1" applyBorder="1" applyAlignment="1" applyProtection="1">
      <alignment horizontal="center" vertical="center"/>
      <protection locked="0"/>
    </xf>
    <xf numFmtId="167" fontId="5" fillId="23" borderId="50" xfId="1" applyNumberFormat="1" applyFont="1" applyFill="1" applyBorder="1" applyAlignment="1" applyProtection="1">
      <alignment horizontal="center" vertical="center"/>
      <protection locked="0"/>
    </xf>
    <xf numFmtId="1" fontId="5" fillId="23" borderId="50" xfId="1" applyNumberFormat="1" applyFont="1" applyFill="1" applyBorder="1" applyAlignment="1" applyProtection="1">
      <alignment horizontal="center" vertical="center"/>
      <protection locked="0"/>
    </xf>
    <xf numFmtId="1" fontId="5" fillId="23" borderId="3" xfId="1" applyNumberFormat="1" applyFont="1" applyFill="1" applyBorder="1" applyAlignment="1" applyProtection="1">
      <alignment horizontal="center" vertical="center"/>
      <protection locked="0"/>
    </xf>
    <xf numFmtId="1" fontId="5" fillId="23" borderId="14" xfId="1" applyNumberFormat="1" applyFont="1" applyFill="1" applyBorder="1" applyAlignment="1" applyProtection="1">
      <alignment horizontal="center" vertical="center"/>
      <protection locked="0"/>
    </xf>
    <xf numFmtId="3" fontId="0" fillId="23" borderId="62" xfId="0" applyNumberFormat="1" applyFill="1" applyBorder="1" applyAlignment="1" applyProtection="1">
      <alignment horizontal="center" vertical="center"/>
      <protection locked="0"/>
    </xf>
    <xf numFmtId="3" fontId="0" fillId="23" borderId="29" xfId="0" applyNumberFormat="1" applyFill="1" applyBorder="1" applyAlignment="1" applyProtection="1">
      <alignment horizontal="center" vertical="center"/>
      <protection locked="0"/>
    </xf>
    <xf numFmtId="2" fontId="5" fillId="23" borderId="20" xfId="3" applyNumberFormat="1" applyFont="1" applyFill="1" applyBorder="1" applyAlignment="1" applyProtection="1">
      <alignment horizontal="center" vertical="center"/>
      <protection locked="0"/>
    </xf>
    <xf numFmtId="2" fontId="5" fillId="23" borderId="40" xfId="3" applyNumberFormat="1" applyFont="1" applyFill="1" applyBorder="1" applyAlignment="1" applyProtection="1">
      <alignment horizontal="center" vertical="center"/>
      <protection locked="0"/>
    </xf>
    <xf numFmtId="3" fontId="5" fillId="23" borderId="51" xfId="3" applyNumberFormat="1" applyFont="1" applyFill="1" applyBorder="1" applyAlignment="1" applyProtection="1">
      <alignment horizontal="center" vertical="center"/>
      <protection locked="0"/>
    </xf>
    <xf numFmtId="3" fontId="5" fillId="23" borderId="23" xfId="3" applyNumberFormat="1" applyFont="1" applyFill="1" applyBorder="1" applyAlignment="1" applyProtection="1">
      <alignment horizontal="center" vertical="center"/>
      <protection locked="0"/>
    </xf>
    <xf numFmtId="3" fontId="5" fillId="23" borderId="24" xfId="3" applyNumberFormat="1" applyFont="1" applyFill="1" applyBorder="1" applyAlignment="1" applyProtection="1">
      <alignment horizontal="center" vertical="center"/>
      <protection locked="0"/>
    </xf>
    <xf numFmtId="0" fontId="0" fillId="23" borderId="23" xfId="0" applyFill="1" applyBorder="1" applyAlignment="1" applyProtection="1">
      <alignment horizontal="center" vertical="center"/>
      <protection locked="0"/>
    </xf>
    <xf numFmtId="1" fontId="0" fillId="23" borderId="23" xfId="0" applyNumberFormat="1" applyFill="1" applyBorder="1" applyAlignment="1" applyProtection="1">
      <alignment horizontal="center" vertical="center"/>
      <protection locked="0"/>
    </xf>
    <xf numFmtId="1" fontId="0" fillId="23" borderId="24" xfId="0" applyNumberFormat="1" applyFill="1" applyBorder="1" applyAlignment="1" applyProtection="1">
      <alignment horizontal="center" vertical="center"/>
      <protection locked="0"/>
    </xf>
    <xf numFmtId="0" fontId="0" fillId="23" borderId="20" xfId="0" applyFill="1" applyBorder="1" applyAlignment="1" applyProtection="1">
      <alignment horizontal="center" vertical="center" wrapText="1"/>
      <protection locked="0"/>
    </xf>
    <xf numFmtId="0" fontId="0" fillId="23" borderId="40" xfId="0" applyFill="1" applyBorder="1" applyAlignment="1" applyProtection="1">
      <alignment horizontal="center" vertical="center" wrapText="1"/>
      <protection locked="0"/>
    </xf>
    <xf numFmtId="167" fontId="0" fillId="23" borderId="62" xfId="0" quotePrefix="1" applyNumberFormat="1" applyFill="1" applyBorder="1" applyAlignment="1" applyProtection="1">
      <alignment horizontal="center" vertical="center"/>
      <protection locked="0"/>
    </xf>
    <xf numFmtId="167" fontId="0" fillId="23" borderId="65" xfId="0" quotePrefix="1" applyNumberFormat="1" applyFill="1" applyBorder="1" applyAlignment="1" applyProtection="1">
      <alignment horizontal="center" vertical="center"/>
      <protection locked="0"/>
    </xf>
    <xf numFmtId="167" fontId="0" fillId="23" borderId="18" xfId="0" applyNumberFormat="1" applyFill="1" applyBorder="1" applyAlignment="1" applyProtection="1">
      <alignment horizontal="center" vertical="center"/>
      <protection locked="0"/>
    </xf>
    <xf numFmtId="0" fontId="0" fillId="23" borderId="18" xfId="0" applyFill="1" applyBorder="1" applyAlignment="1" applyProtection="1">
      <alignment horizontal="left" vertical="center" wrapText="1"/>
      <protection locked="0"/>
    </xf>
    <xf numFmtId="167" fontId="0" fillId="23" borderId="3" xfId="0" applyNumberFormat="1" applyFill="1" applyBorder="1" applyAlignment="1" applyProtection="1">
      <alignment horizontal="center" vertical="center"/>
      <protection locked="0"/>
    </xf>
    <xf numFmtId="166" fontId="5" fillId="23" borderId="23" xfId="1" applyNumberFormat="1" applyFont="1" applyFill="1" applyBorder="1" applyAlignment="1" applyProtection="1">
      <alignment horizontal="center" vertical="center"/>
      <protection locked="0"/>
    </xf>
    <xf numFmtId="167" fontId="0" fillId="23" borderId="3" xfId="0" quotePrefix="1" applyNumberFormat="1" applyFill="1" applyBorder="1" applyAlignment="1" applyProtection="1">
      <alignment horizontal="center" vertical="center"/>
      <protection locked="0"/>
    </xf>
    <xf numFmtId="0" fontId="0" fillId="23" borderId="29" xfId="0" applyFill="1" applyBorder="1" applyAlignment="1" applyProtection="1">
      <alignment horizontal="left" vertical="center" wrapText="1"/>
      <protection locked="0"/>
    </xf>
    <xf numFmtId="166" fontId="5" fillId="23" borderId="24" xfId="1" applyNumberFormat="1" applyFont="1" applyFill="1" applyBorder="1" applyAlignment="1" applyProtection="1">
      <alignment horizontal="center" vertical="center"/>
      <protection locked="0"/>
    </xf>
    <xf numFmtId="167" fontId="0" fillId="23" borderId="14" xfId="0" quotePrefix="1" applyNumberFormat="1" applyFill="1" applyBorder="1" applyAlignment="1" applyProtection="1">
      <alignment horizontal="center" vertical="center"/>
      <protection locked="0"/>
    </xf>
    <xf numFmtId="44" fontId="7" fillId="23" borderId="26" xfId="0" applyNumberFormat="1" applyFont="1" applyFill="1" applyBorder="1" applyAlignment="1" applyProtection="1">
      <alignment horizontal="center" vertical="center"/>
      <protection locked="0"/>
    </xf>
    <xf numFmtId="44" fontId="0" fillId="23" borderId="26" xfId="0" applyNumberFormat="1" applyFont="1" applyFill="1" applyBorder="1" applyAlignment="1" applyProtection="1">
      <alignment horizontal="center" vertical="center"/>
      <protection locked="0"/>
    </xf>
    <xf numFmtId="0" fontId="57" fillId="23" borderId="3" xfId="0" applyNumberFormat="1" applyFont="1" applyFill="1" applyBorder="1" applyAlignment="1" applyProtection="1">
      <alignment horizontal="center" vertical="center"/>
      <protection locked="0"/>
    </xf>
    <xf numFmtId="4" fontId="57" fillId="23" borderId="3" xfId="0" applyNumberFormat="1" applyFont="1" applyFill="1" applyBorder="1" applyAlignment="1" applyProtection="1">
      <alignment horizontal="center" vertical="center"/>
      <protection locked="0"/>
    </xf>
    <xf numFmtId="0" fontId="61" fillId="2" borderId="0" xfId="0" applyFont="1" applyFill="1" applyBorder="1" applyAlignment="1" applyProtection="1">
      <alignment vertical="center"/>
      <protection hidden="1"/>
    </xf>
    <xf numFmtId="0" fontId="57" fillId="2" borderId="0" xfId="0" applyFont="1" applyFill="1" applyBorder="1" applyAlignment="1" applyProtection="1">
      <alignment horizontal="left"/>
      <protection hidden="1"/>
    </xf>
    <xf numFmtId="0" fontId="60" fillId="2" borderId="0" xfId="0" applyFont="1" applyFill="1" applyBorder="1" applyAlignment="1" applyProtection="1">
      <alignment horizontal="left" vertical="center" wrapText="1"/>
      <protection hidden="1"/>
    </xf>
    <xf numFmtId="0" fontId="61" fillId="2" borderId="0" xfId="0" applyFont="1" applyFill="1" applyBorder="1" applyAlignment="1" applyProtection="1">
      <alignment horizontal="left" vertical="center"/>
      <protection hidden="1"/>
    </xf>
    <xf numFmtId="0" fontId="57" fillId="2" borderId="0" xfId="0" applyFont="1" applyFill="1" applyBorder="1" applyAlignment="1" applyProtection="1">
      <alignment wrapText="1"/>
      <protection hidden="1"/>
    </xf>
    <xf numFmtId="0" fontId="60" fillId="2" borderId="0" xfId="0" applyFont="1" applyFill="1" applyBorder="1" applyAlignment="1" applyProtection="1">
      <alignment horizontal="left" vertical="center" wrapText="1" indent="2"/>
      <protection hidden="1"/>
    </xf>
    <xf numFmtId="0" fontId="58" fillId="2" borderId="0" xfId="0" applyFont="1" applyFill="1" applyBorder="1" applyProtection="1">
      <protection hidden="1"/>
    </xf>
    <xf numFmtId="0" fontId="60" fillId="2" borderId="0" xfId="0" applyFont="1" applyFill="1" applyBorder="1" applyAlignment="1" applyProtection="1">
      <alignment vertical="center"/>
      <protection hidden="1"/>
    </xf>
    <xf numFmtId="0" fontId="57" fillId="0" borderId="0" xfId="0" applyFont="1" applyBorder="1" applyAlignment="1" applyProtection="1">
      <alignment wrapText="1"/>
      <protection hidden="1"/>
    </xf>
    <xf numFmtId="0" fontId="61" fillId="2" borderId="0" xfId="0" applyFont="1" applyFill="1" applyBorder="1" applyAlignment="1" applyProtection="1">
      <alignment horizontal="right" vertical="center"/>
      <protection hidden="1"/>
    </xf>
    <xf numFmtId="0" fontId="9" fillId="2" borderId="0" xfId="0" applyFont="1" applyFill="1" applyAlignment="1" applyProtection="1">
      <protection hidden="1"/>
    </xf>
    <xf numFmtId="0" fontId="59" fillId="2" borderId="0" xfId="0" applyFont="1" applyFill="1" applyAlignment="1" applyProtection="1">
      <protection hidden="1"/>
    </xf>
    <xf numFmtId="0" fontId="11" fillId="2" borderId="0" xfId="0" applyFont="1" applyFill="1" applyAlignment="1" applyProtection="1">
      <alignment wrapText="1"/>
      <protection hidden="1"/>
    </xf>
    <xf numFmtId="0" fontId="65" fillId="2" borderId="0" xfId="0" applyFont="1" applyFill="1" applyAlignment="1" applyProtection="1">
      <alignment vertical="center"/>
      <protection hidden="1"/>
    </xf>
    <xf numFmtId="0" fontId="61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Protection="1">
      <protection hidden="1"/>
    </xf>
    <xf numFmtId="0" fontId="57" fillId="0" borderId="0" xfId="0" applyFont="1" applyBorder="1" applyProtection="1">
      <protection hidden="1"/>
    </xf>
    <xf numFmtId="0" fontId="57" fillId="0" borderId="0" xfId="0" applyFont="1" applyFill="1" applyBorder="1" applyProtection="1">
      <protection hidden="1"/>
    </xf>
    <xf numFmtId="0" fontId="57" fillId="0" borderId="39" xfId="0" applyFont="1" applyBorder="1" applyAlignment="1" applyProtection="1">
      <protection hidden="1"/>
    </xf>
    <xf numFmtId="0" fontId="57" fillId="2" borderId="0" xfId="0" applyFont="1" applyFill="1" applyBorder="1" applyAlignment="1" applyProtection="1">
      <protection hidden="1"/>
    </xf>
    <xf numFmtId="0" fontId="57" fillId="0" borderId="0" xfId="0" applyFont="1" applyFill="1" applyBorder="1" applyAlignment="1" applyProtection="1">
      <protection hidden="1"/>
    </xf>
    <xf numFmtId="0" fontId="57" fillId="2" borderId="0" xfId="0" applyNumberFormat="1" applyFont="1" applyFill="1" applyBorder="1" applyProtection="1">
      <protection hidden="1"/>
    </xf>
    <xf numFmtId="0" fontId="60" fillId="2" borderId="0" xfId="0" applyFont="1" applyFill="1" applyBorder="1" applyAlignment="1" applyProtection="1">
      <alignment horizontal="right"/>
      <protection hidden="1"/>
    </xf>
    <xf numFmtId="0" fontId="0" fillId="2" borderId="26" xfId="0" applyFill="1" applyBorder="1" applyAlignment="1" applyProtection="1">
      <alignment horizontal="center" vertical="center" wrapText="1"/>
      <protection hidden="1"/>
    </xf>
    <xf numFmtId="0" fontId="0" fillId="2" borderId="27" xfId="0" applyFill="1" applyBorder="1" applyAlignment="1" applyProtection="1">
      <alignment horizontal="center" vertical="center" wrapText="1"/>
      <protection hidden="1"/>
    </xf>
    <xf numFmtId="44" fontId="0" fillId="13" borderId="26" xfId="0" applyNumberFormat="1" applyFont="1" applyFill="1" applyBorder="1" applyAlignment="1" applyProtection="1">
      <alignment horizontal="center" vertical="center"/>
      <protection hidden="1"/>
    </xf>
    <xf numFmtId="44" fontId="47" fillId="13" borderId="26" xfId="0" applyNumberFormat="1" applyFont="1" applyFill="1" applyBorder="1" applyAlignment="1" applyProtection="1">
      <alignment horizontal="center" vertical="center"/>
      <protection hidden="1"/>
    </xf>
    <xf numFmtId="167" fontId="0" fillId="20" borderId="13" xfId="0" applyNumberFormat="1" applyFill="1" applyBorder="1" applyAlignment="1" applyProtection="1">
      <alignment horizontal="center" vertical="center"/>
      <protection hidden="1"/>
    </xf>
    <xf numFmtId="167" fontId="0" fillId="20" borderId="25" xfId="0" applyNumberFormat="1" applyFill="1" applyBorder="1" applyAlignment="1" applyProtection="1">
      <alignment horizontal="center" vertical="center"/>
      <protection hidden="1"/>
    </xf>
    <xf numFmtId="0" fontId="8" fillId="20" borderId="25" xfId="0" applyFont="1" applyFill="1" applyBorder="1" applyAlignment="1" applyProtection="1">
      <alignment horizontal="center" vertical="center" wrapText="1"/>
      <protection hidden="1"/>
    </xf>
    <xf numFmtId="0" fontId="8" fillId="20" borderId="12" xfId="0" applyFont="1" applyFill="1" applyBorder="1" applyAlignment="1" applyProtection="1">
      <alignment horizontal="center" vertical="center" wrapText="1"/>
      <protection hidden="1"/>
    </xf>
    <xf numFmtId="167" fontId="5" fillId="20" borderId="22" xfId="1" applyNumberFormat="1" applyFont="1" applyFill="1" applyBorder="1" applyAlignment="1" applyProtection="1">
      <alignment horizontal="center" vertical="center"/>
      <protection hidden="1"/>
    </xf>
    <xf numFmtId="167" fontId="0" fillId="20" borderId="26" xfId="0" applyNumberFormat="1" applyFill="1" applyBorder="1" applyAlignment="1" applyProtection="1">
      <alignment horizontal="center" vertical="center"/>
      <protection hidden="1"/>
    </xf>
    <xf numFmtId="44" fontId="0" fillId="20" borderId="31" xfId="0" applyNumberFormat="1" applyFill="1" applyBorder="1" applyAlignment="1" applyProtection="1">
      <protection hidden="1"/>
    </xf>
    <xf numFmtId="44" fontId="0" fillId="20" borderId="33" xfId="0" applyNumberFormat="1" applyFill="1" applyBorder="1" applyAlignment="1" applyProtection="1">
      <protection hidden="1"/>
    </xf>
    <xf numFmtId="44" fontId="0" fillId="20" borderId="34" xfId="0" applyNumberFormat="1" applyFill="1" applyBorder="1" applyAlignment="1" applyProtection="1">
      <protection hidden="1"/>
    </xf>
    <xf numFmtId="44" fontId="0" fillId="20" borderId="33" xfId="0" applyNumberFormat="1" applyFill="1" applyBorder="1" applyAlignment="1" applyProtection="1">
      <alignment vertical="center"/>
      <protection hidden="1"/>
    </xf>
    <xf numFmtId="44" fontId="0" fillId="20" borderId="22" xfId="0" applyNumberFormat="1" applyFill="1" applyBorder="1" applyAlignment="1" applyProtection="1">
      <alignment vertical="center"/>
      <protection hidden="1"/>
    </xf>
    <xf numFmtId="44" fontId="0" fillId="20" borderId="26" xfId="0" applyNumberFormat="1" applyFill="1" applyBorder="1" applyAlignment="1" applyProtection="1">
      <alignment vertical="center"/>
      <protection hidden="1"/>
    </xf>
    <xf numFmtId="167" fontId="0" fillId="20" borderId="26" xfId="1" applyNumberFormat="1" applyFont="1" applyFill="1" applyBorder="1" applyAlignment="1" applyProtection="1">
      <alignment vertical="center"/>
      <protection hidden="1"/>
    </xf>
    <xf numFmtId="44" fontId="0" fillId="20" borderId="26" xfId="0" applyNumberFormat="1" applyFill="1" applyBorder="1" applyAlignment="1" applyProtection="1">
      <alignment horizontal="center" vertical="center"/>
      <protection hidden="1"/>
    </xf>
    <xf numFmtId="1" fontId="0" fillId="20" borderId="26" xfId="0" applyNumberFormat="1" applyFill="1" applyBorder="1" applyAlignment="1" applyProtection="1">
      <alignment horizontal="center" vertical="center"/>
      <protection hidden="1"/>
    </xf>
    <xf numFmtId="44" fontId="0" fillId="20" borderId="16" xfId="0" applyNumberFormat="1" applyFont="1" applyFill="1" applyBorder="1" applyAlignment="1" applyProtection="1">
      <alignment horizontal="center" vertical="center"/>
      <protection hidden="1"/>
    </xf>
    <xf numFmtId="1" fontId="7" fillId="20" borderId="6" xfId="1" applyNumberFormat="1" applyFont="1" applyFill="1" applyBorder="1" applyAlignment="1" applyProtection="1">
      <alignment horizontal="center" vertical="center"/>
      <protection hidden="1"/>
    </xf>
    <xf numFmtId="44" fontId="12" fillId="20" borderId="26" xfId="1" applyNumberFormat="1" applyFont="1" applyFill="1" applyBorder="1" applyAlignment="1" applyProtection="1">
      <alignment horizontal="center" vertical="center"/>
      <protection hidden="1"/>
    </xf>
    <xf numFmtId="1" fontId="7" fillId="20" borderId="26" xfId="1" applyNumberFormat="1" applyFont="1" applyFill="1" applyBorder="1" applyAlignment="1" applyProtection="1">
      <alignment horizontal="center" vertical="center"/>
      <protection hidden="1"/>
    </xf>
    <xf numFmtId="44" fontId="7" fillId="20" borderId="26" xfId="1" applyNumberFormat="1" applyFont="1" applyFill="1" applyBorder="1" applyAlignment="1" applyProtection="1">
      <alignment horizontal="center" vertical="center"/>
      <protection hidden="1"/>
    </xf>
    <xf numFmtId="10" fontId="12" fillId="20" borderId="26" xfId="1" applyNumberFormat="1" applyFont="1" applyFill="1" applyBorder="1" applyAlignment="1" applyProtection="1">
      <alignment horizontal="center" vertical="center"/>
      <protection hidden="1"/>
    </xf>
    <xf numFmtId="164" fontId="7" fillId="20" borderId="30" xfId="0" applyNumberFormat="1" applyFont="1" applyFill="1" applyBorder="1" applyAlignment="1" applyProtection="1">
      <alignment horizontal="center" vertical="center"/>
      <protection hidden="1"/>
    </xf>
    <xf numFmtId="44" fontId="71" fillId="20" borderId="26" xfId="0" applyNumberFormat="1" applyFont="1" applyFill="1" applyBorder="1" applyAlignment="1" applyProtection="1">
      <alignment horizontal="center" vertical="center" wrapText="1"/>
      <protection hidden="1"/>
    </xf>
    <xf numFmtId="9" fontId="7" fillId="20" borderId="70" xfId="0" applyNumberFormat="1" applyFont="1" applyFill="1" applyBorder="1" applyAlignment="1" applyProtection="1">
      <alignment horizontal="center" vertical="center"/>
    </xf>
    <xf numFmtId="9" fontId="7" fillId="20" borderId="33" xfId="0" applyNumberFormat="1" applyFont="1" applyFill="1" applyBorder="1" applyAlignment="1" applyProtection="1">
      <alignment horizontal="center" vertical="center"/>
    </xf>
    <xf numFmtId="9" fontId="7" fillId="20" borderId="34" xfId="0" applyNumberFormat="1" applyFont="1" applyFill="1" applyBorder="1" applyAlignment="1" applyProtection="1">
      <alignment horizontal="center" vertical="center"/>
    </xf>
    <xf numFmtId="44" fontId="44" fillId="20" borderId="26" xfId="0" applyNumberFormat="1" applyFont="1" applyFill="1" applyBorder="1" applyAlignment="1" applyProtection="1">
      <alignment horizontal="center" vertical="center" wrapText="1"/>
      <protection hidden="1"/>
    </xf>
    <xf numFmtId="3" fontId="57" fillId="20" borderId="3" xfId="0" applyNumberFormat="1" applyFont="1" applyFill="1" applyBorder="1" applyAlignment="1" applyProtection="1">
      <alignment horizontal="right" vertical="center"/>
      <protection hidden="1"/>
    </xf>
    <xf numFmtId="3" fontId="60" fillId="20" borderId="3" xfId="0" applyNumberFormat="1" applyFont="1" applyFill="1" applyBorder="1" applyAlignment="1" applyProtection="1">
      <alignment horizontal="right" vertical="center"/>
      <protection hidden="1"/>
    </xf>
    <xf numFmtId="167" fontId="0" fillId="24" borderId="3" xfId="0" quotePrefix="1" applyNumberFormat="1" applyFill="1" applyBorder="1" applyAlignment="1" applyProtection="1">
      <alignment horizontal="center" vertical="center"/>
      <protection hidden="1"/>
    </xf>
    <xf numFmtId="167" fontId="0" fillId="24" borderId="14" xfId="0" quotePrefix="1" applyNumberFormat="1" applyFill="1" applyBorder="1" applyAlignment="1" applyProtection="1">
      <alignment horizontal="center" vertical="center"/>
      <protection hidden="1"/>
    </xf>
    <xf numFmtId="167" fontId="0" fillId="20" borderId="30" xfId="0" applyNumberFormat="1" applyFill="1" applyBorder="1" applyAlignment="1" applyProtection="1">
      <alignment horizontal="center" vertical="center"/>
      <protection hidden="1"/>
    </xf>
    <xf numFmtId="0" fontId="27" fillId="24" borderId="11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hidden="1"/>
    </xf>
    <xf numFmtId="3" fontId="0" fillId="20" borderId="41" xfId="4" applyNumberFormat="1" applyFont="1" applyFill="1" applyBorder="1" applyAlignment="1" applyProtection="1">
      <alignment horizontal="center" vertical="center"/>
      <protection hidden="1"/>
    </xf>
    <xf numFmtId="3" fontId="0" fillId="20" borderId="42" xfId="4" applyNumberFormat="1" applyFont="1" applyFill="1" applyBorder="1" applyAlignment="1" applyProtection="1">
      <alignment horizontal="center" vertical="center"/>
      <protection hidden="1"/>
    </xf>
    <xf numFmtId="4" fontId="0" fillId="20" borderId="42" xfId="4" applyNumberFormat="1" applyFont="1" applyFill="1" applyBorder="1" applyAlignment="1" applyProtection="1">
      <alignment horizontal="center" vertical="center"/>
      <protection hidden="1"/>
    </xf>
    <xf numFmtId="167" fontId="0" fillId="20" borderId="30" xfId="4" applyNumberFormat="1" applyFont="1" applyFill="1" applyBorder="1" applyAlignment="1" applyProtection="1">
      <alignment horizontal="center" vertical="center"/>
      <protection hidden="1"/>
    </xf>
    <xf numFmtId="167" fontId="5" fillId="20" borderId="42" xfId="1" applyNumberFormat="1" applyFont="1" applyFill="1" applyBorder="1" applyAlignment="1" applyProtection="1">
      <alignment horizontal="center" vertical="center"/>
      <protection hidden="1"/>
    </xf>
    <xf numFmtId="164" fontId="5" fillId="20" borderId="42" xfId="1" applyNumberFormat="1" applyFont="1" applyFill="1" applyBorder="1" applyAlignment="1" applyProtection="1">
      <alignment horizontal="center" vertical="center"/>
      <protection hidden="1"/>
    </xf>
    <xf numFmtId="4" fontId="5" fillId="20" borderId="42" xfId="1" applyNumberFormat="1" applyFont="1" applyFill="1" applyBorder="1" applyAlignment="1" applyProtection="1">
      <alignment horizontal="center" vertical="center"/>
      <protection hidden="1"/>
    </xf>
    <xf numFmtId="167" fontId="5" fillId="20" borderId="60" xfId="1" applyNumberFormat="1" applyFont="1" applyFill="1" applyBorder="1" applyAlignment="1" applyProtection="1">
      <alignment horizontal="center" vertical="center"/>
      <protection hidden="1"/>
    </xf>
    <xf numFmtId="167" fontId="5" fillId="20" borderId="58" xfId="1" applyNumberFormat="1" applyFont="1" applyFill="1" applyBorder="1" applyAlignment="1" applyProtection="1">
      <alignment horizontal="center" vertical="center"/>
      <protection hidden="1"/>
    </xf>
    <xf numFmtId="3" fontId="5" fillId="20" borderId="30" xfId="1" applyNumberFormat="1" applyFont="1" applyFill="1" applyBorder="1" applyAlignment="1" applyProtection="1">
      <alignment horizontal="center" vertical="center"/>
      <protection hidden="1"/>
    </xf>
    <xf numFmtId="1" fontId="0" fillId="20" borderId="13" xfId="0" applyNumberFormat="1" applyFill="1" applyBorder="1" applyAlignment="1" applyProtection="1">
      <alignment horizontal="center" vertical="center"/>
      <protection hidden="1"/>
    </xf>
    <xf numFmtId="167" fontId="0" fillId="20" borderId="14" xfId="0" applyNumberFormat="1" applyFill="1" applyBorder="1" applyAlignment="1" applyProtection="1">
      <alignment horizontal="center" vertical="center"/>
      <protection hidden="1"/>
    </xf>
    <xf numFmtId="167" fontId="0" fillId="20" borderId="3" xfId="0" applyNumberFormat="1" applyFill="1" applyBorder="1" applyAlignment="1" applyProtection="1">
      <alignment horizontal="center" vertical="center" wrapText="1"/>
      <protection hidden="1"/>
    </xf>
    <xf numFmtId="0" fontId="8" fillId="20" borderId="10" xfId="0" applyFont="1" applyFill="1" applyBorder="1" applyAlignment="1" applyProtection="1">
      <alignment horizontal="center" vertical="center" wrapText="1"/>
      <protection hidden="1"/>
    </xf>
    <xf numFmtId="168" fontId="0" fillId="20" borderId="3" xfId="0" applyNumberFormat="1" applyFill="1" applyBorder="1" applyAlignment="1" applyProtection="1">
      <alignment horizontal="center" vertical="center"/>
      <protection hidden="1"/>
    </xf>
    <xf numFmtId="167" fontId="0" fillId="20" borderId="52" xfId="0" applyNumberFormat="1" applyFill="1" applyBorder="1" applyAlignment="1" applyProtection="1">
      <alignment horizontal="center" vertical="center"/>
      <protection hidden="1"/>
    </xf>
    <xf numFmtId="167" fontId="0" fillId="20" borderId="55" xfId="0" applyNumberFormat="1" applyFill="1" applyBorder="1" applyAlignment="1" applyProtection="1">
      <alignment horizontal="center" vertical="center"/>
      <protection hidden="1"/>
    </xf>
    <xf numFmtId="0" fontId="8" fillId="20" borderId="53" xfId="0" applyFont="1" applyFill="1" applyBorder="1" applyAlignment="1" applyProtection="1">
      <alignment horizontal="center" vertical="center" wrapText="1"/>
      <protection hidden="1"/>
    </xf>
    <xf numFmtId="1" fontId="5" fillId="20" borderId="13" xfId="1" applyNumberFormat="1" applyFont="1" applyFill="1" applyBorder="1" applyAlignment="1" applyProtection="1">
      <alignment horizontal="center" vertical="center"/>
      <protection hidden="1"/>
    </xf>
    <xf numFmtId="0" fontId="27" fillId="20" borderId="44" xfId="0" applyFont="1" applyFill="1" applyBorder="1" applyAlignment="1" applyProtection="1">
      <alignment horizontal="center" vertical="center" wrapText="1"/>
      <protection hidden="1"/>
    </xf>
    <xf numFmtId="167" fontId="0" fillId="20" borderId="3" xfId="0" applyNumberFormat="1" applyFill="1" applyBorder="1" applyAlignment="1" applyProtection="1">
      <alignment horizontal="center" vertical="center"/>
      <protection locked="0"/>
    </xf>
    <xf numFmtId="3" fontId="0" fillId="20" borderId="26" xfId="4" applyNumberFormat="1" applyFont="1" applyFill="1" applyBorder="1" applyAlignment="1" applyProtection="1">
      <alignment horizontal="center" vertical="center"/>
      <protection hidden="1"/>
    </xf>
    <xf numFmtId="3" fontId="0" fillId="20" borderId="58" xfId="4" applyNumberFormat="1" applyFont="1" applyFill="1" applyBorder="1" applyAlignment="1" applyProtection="1">
      <alignment horizontal="center" vertical="center"/>
      <protection hidden="1"/>
    </xf>
    <xf numFmtId="1" fontId="0" fillId="13" borderId="3" xfId="0" applyNumberFormat="1" applyFill="1" applyBorder="1" applyAlignment="1" applyProtection="1">
      <alignment horizontal="center" vertical="center"/>
      <protection hidden="1"/>
    </xf>
    <xf numFmtId="167" fontId="5" fillId="20" borderId="26" xfId="1" applyNumberFormat="1" applyFont="1" applyFill="1" applyBorder="1" applyAlignment="1" applyProtection="1">
      <alignment horizontal="center" vertical="center"/>
      <protection hidden="1"/>
    </xf>
    <xf numFmtId="3" fontId="5" fillId="20" borderId="42" xfId="1" applyNumberFormat="1" applyFont="1" applyFill="1" applyBorder="1" applyAlignment="1" applyProtection="1">
      <alignment horizontal="center" vertical="center"/>
      <protection hidden="1"/>
    </xf>
    <xf numFmtId="3" fontId="5" fillId="20" borderId="26" xfId="1" applyNumberFormat="1" applyFont="1" applyFill="1" applyBorder="1" applyAlignment="1" applyProtection="1">
      <alignment horizontal="center" vertical="center"/>
      <protection hidden="1"/>
    </xf>
    <xf numFmtId="167" fontId="0" fillId="20" borderId="42" xfId="4" applyNumberFormat="1" applyFont="1" applyFill="1" applyBorder="1" applyAlignment="1" applyProtection="1">
      <alignment horizontal="center" vertical="center"/>
      <protection hidden="1"/>
    </xf>
    <xf numFmtId="164" fontId="5" fillId="20" borderId="42" xfId="2" applyNumberFormat="1" applyFont="1" applyFill="1" applyBorder="1" applyAlignment="1" applyProtection="1">
      <alignment horizontal="center" vertical="center"/>
      <protection hidden="1"/>
    </xf>
    <xf numFmtId="167" fontId="0" fillId="20" borderId="20" xfId="0" applyNumberFormat="1" applyFill="1" applyBorder="1" applyAlignment="1" applyProtection="1">
      <alignment horizontal="center" vertical="center"/>
      <protection hidden="1"/>
    </xf>
    <xf numFmtId="167" fontId="0" fillId="20" borderId="41" xfId="4" applyNumberFormat="1" applyFont="1" applyFill="1" applyBorder="1" applyAlignment="1" applyProtection="1">
      <alignment horizontal="center" vertical="center"/>
      <protection hidden="1"/>
    </xf>
    <xf numFmtId="167" fontId="0" fillId="20" borderId="17" xfId="4" applyNumberFormat="1" applyFont="1" applyFill="1" applyBorder="1" applyAlignment="1" applyProtection="1">
      <alignment horizontal="center" vertical="center"/>
      <protection hidden="1"/>
    </xf>
    <xf numFmtId="167" fontId="5" fillId="20" borderId="41" xfId="1" applyNumberFormat="1" applyFont="1" applyFill="1" applyBorder="1" applyAlignment="1" applyProtection="1">
      <alignment horizontal="center" vertical="center"/>
      <protection hidden="1"/>
    </xf>
    <xf numFmtId="3" fontId="44" fillId="24" borderId="14" xfId="0" applyNumberFormat="1" applyFont="1" applyFill="1" applyBorder="1" applyAlignment="1" applyProtection="1">
      <alignment horizontal="center" vertical="center"/>
      <protection hidden="1"/>
    </xf>
    <xf numFmtId="0" fontId="8" fillId="20" borderId="30" xfId="0" applyFont="1" applyFill="1" applyBorder="1" applyAlignment="1" applyProtection="1">
      <alignment horizontal="center" vertical="center" wrapText="1"/>
      <protection hidden="1"/>
    </xf>
    <xf numFmtId="1" fontId="5" fillId="20" borderId="18" xfId="1" applyNumberFormat="1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 wrapText="1"/>
      <protection hidden="1"/>
    </xf>
    <xf numFmtId="167" fontId="7" fillId="20" borderId="3" xfId="1" applyNumberFormat="1" applyFont="1" applyFill="1" applyBorder="1" applyAlignment="1" applyProtection="1">
      <alignment horizontal="center" vertical="center"/>
      <protection hidden="1"/>
    </xf>
    <xf numFmtId="2" fontId="7" fillId="20" borderId="3" xfId="0" applyNumberFormat="1" applyFont="1" applyFill="1" applyBorder="1" applyAlignment="1" applyProtection="1">
      <alignment horizontal="center" vertical="center"/>
      <protection hidden="1"/>
    </xf>
    <xf numFmtId="0" fontId="0" fillId="24" borderId="29" xfId="0" applyFill="1" applyBorder="1" applyAlignment="1" applyProtection="1">
      <alignment horizontal="center" vertical="center"/>
      <protection hidden="1"/>
    </xf>
    <xf numFmtId="3" fontId="0" fillId="24" borderId="24" xfId="0" applyNumberFormat="1" applyFill="1" applyBorder="1" applyAlignment="1" applyProtection="1">
      <alignment horizontal="center" vertical="center"/>
      <protection hidden="1"/>
    </xf>
    <xf numFmtId="3" fontId="0" fillId="24" borderId="14" xfId="0" applyNumberFormat="1" applyFill="1" applyBorder="1" applyAlignment="1" applyProtection="1">
      <alignment horizontal="center" vertical="center"/>
      <protection hidden="1"/>
    </xf>
    <xf numFmtId="4" fontId="0" fillId="24" borderId="3" xfId="0" applyNumberFormat="1" applyFill="1" applyBorder="1" applyAlignment="1" applyProtection="1">
      <alignment horizontal="center" vertical="center"/>
      <protection hidden="1"/>
    </xf>
    <xf numFmtId="167" fontId="0" fillId="24" borderId="3" xfId="0" applyNumberFormat="1" applyFill="1" applyBorder="1" applyAlignment="1" applyProtection="1">
      <alignment horizontal="center" vertical="center"/>
      <protection hidden="1"/>
    </xf>
    <xf numFmtId="3" fontId="0" fillId="24" borderId="24" xfId="4" applyNumberFormat="1" applyFont="1" applyFill="1" applyBorder="1" applyAlignment="1" applyProtection="1">
      <alignment horizontal="center" vertical="center"/>
      <protection locked="0"/>
    </xf>
    <xf numFmtId="3" fontId="0" fillId="24" borderId="14" xfId="4" applyNumberFormat="1" applyFont="1" applyFill="1" applyBorder="1" applyAlignment="1" applyProtection="1">
      <alignment horizontal="center" vertical="center"/>
      <protection locked="0"/>
    </xf>
    <xf numFmtId="164" fontId="0" fillId="24" borderId="3" xfId="2" applyNumberFormat="1" applyFont="1" applyFill="1" applyBorder="1" applyAlignment="1" applyProtection="1">
      <alignment horizontal="center" vertical="center"/>
      <protection hidden="1"/>
    </xf>
    <xf numFmtId="167" fontId="0" fillId="24" borderId="14" xfId="1" applyNumberFormat="1" applyFont="1" applyFill="1" applyBorder="1" applyAlignment="1" applyProtection="1">
      <alignment horizontal="center" vertical="center"/>
      <protection locked="0"/>
    </xf>
    <xf numFmtId="3" fontId="0" fillId="24" borderId="18" xfId="1" applyNumberFormat="1" applyFont="1" applyFill="1" applyBorder="1" applyAlignment="1" applyProtection="1">
      <alignment horizontal="center" vertical="center"/>
      <protection locked="0"/>
    </xf>
    <xf numFmtId="1" fontId="0" fillId="24" borderId="18" xfId="1" applyNumberFormat="1" applyFont="1" applyFill="1" applyBorder="1" applyAlignment="1" applyProtection="1">
      <alignment horizontal="center" vertical="center"/>
      <protection hidden="1"/>
    </xf>
    <xf numFmtId="167" fontId="0" fillId="24" borderId="29" xfId="1" applyNumberFormat="1" applyFont="1" applyFill="1" applyBorder="1" applyAlignment="1" applyProtection="1">
      <alignment horizontal="center" vertical="center"/>
      <protection hidden="1"/>
    </xf>
    <xf numFmtId="1" fontId="0" fillId="24" borderId="25" xfId="0" applyNumberFormat="1" applyFill="1" applyBorder="1" applyAlignment="1" applyProtection="1">
      <alignment horizontal="center" vertical="center"/>
      <protection hidden="1"/>
    </xf>
    <xf numFmtId="167" fontId="0" fillId="24" borderId="18" xfId="1" applyNumberFormat="1" applyFont="1" applyFill="1" applyBorder="1" applyAlignment="1" applyProtection="1">
      <alignment horizontal="center" vertical="center"/>
      <protection hidden="1"/>
    </xf>
    <xf numFmtId="0" fontId="8" fillId="0" borderId="17" xfId="0" applyFont="1" applyFill="1" applyBorder="1" applyAlignment="1" applyProtection="1">
      <alignment horizontal="center" vertical="center" wrapText="1"/>
      <protection hidden="1"/>
    </xf>
    <xf numFmtId="0" fontId="57" fillId="2" borderId="3" xfId="0" applyFont="1" applyFill="1" applyBorder="1" applyAlignment="1" applyProtection="1">
      <alignment horizontal="left" vertical="center"/>
      <protection hidden="1"/>
    </xf>
    <xf numFmtId="0" fontId="57" fillId="2" borderId="3" xfId="0" applyFont="1" applyFill="1" applyBorder="1" applyAlignment="1" applyProtection="1">
      <alignment horizontal="center" vertical="center"/>
      <protection hidden="1"/>
    </xf>
    <xf numFmtId="0" fontId="60" fillId="2" borderId="3" xfId="0" applyFont="1" applyFill="1" applyBorder="1" applyAlignment="1" applyProtection="1">
      <alignment horizontal="left" vertical="center"/>
      <protection hidden="1"/>
    </xf>
    <xf numFmtId="0" fontId="60" fillId="2" borderId="3" xfId="0" quotePrefix="1" applyFont="1" applyFill="1" applyBorder="1" applyAlignment="1" applyProtection="1">
      <alignment horizontal="center" vertical="center"/>
      <protection hidden="1"/>
    </xf>
    <xf numFmtId="0" fontId="69" fillId="2" borderId="0" xfId="0" applyFont="1" applyFill="1" applyBorder="1" applyAlignment="1" applyProtection="1">
      <alignment horizontal="center" vertical="center" wrapText="1"/>
      <protection hidden="1"/>
    </xf>
    <xf numFmtId="0" fontId="8" fillId="20" borderId="3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55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174" fontId="5" fillId="0" borderId="0" xfId="1" applyNumberFormat="1" applyFont="1" applyFill="1" applyBorder="1" applyAlignment="1" applyProtection="1">
      <alignment horizontal="center" vertical="center"/>
      <protection hidden="1"/>
    </xf>
    <xf numFmtId="174" fontId="0" fillId="0" borderId="0" xfId="0" applyNumberForma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44" fontId="44" fillId="0" borderId="5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44" fontId="44" fillId="20" borderId="26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9" applyFont="1" applyFill="1" applyBorder="1" applyAlignment="1" applyProtection="1">
      <alignment horizontal="center" vertical="center" wrapText="1"/>
      <protection hidden="1"/>
    </xf>
    <xf numFmtId="4" fontId="7" fillId="0" borderId="0" xfId="9" applyNumberFormat="1" applyFont="1" applyFill="1" applyBorder="1" applyAlignment="1" applyProtection="1">
      <alignment horizontal="center" vertical="center" wrapText="1"/>
      <protection hidden="1"/>
    </xf>
    <xf numFmtId="167" fontId="7" fillId="0" borderId="0" xfId="9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>
      <protection hidden="1"/>
    </xf>
    <xf numFmtId="167" fontId="5" fillId="0" borderId="3" xfId="9" applyNumberFormat="1" applyFont="1" applyFill="1" applyBorder="1" applyAlignment="1" applyProtection="1">
      <alignment horizontal="center" vertical="center" wrapText="1"/>
      <protection hidden="1"/>
    </xf>
    <xf numFmtId="3" fontId="0" fillId="0" borderId="3" xfId="0" applyNumberFormat="1" applyFont="1" applyFill="1" applyBorder="1" applyAlignment="1" applyProtection="1">
      <alignment horizontal="center" vertical="center"/>
      <protection hidden="1"/>
    </xf>
    <xf numFmtId="0" fontId="5" fillId="0" borderId="0" xfId="9" applyFont="1" applyFill="1" applyBorder="1" applyAlignment="1" applyProtection="1">
      <alignment horizontal="center" vertical="center" wrapText="1"/>
      <protection hidden="1"/>
    </xf>
    <xf numFmtId="0" fontId="0" fillId="0" borderId="72" xfId="0" applyBorder="1" applyAlignment="1" applyProtection="1">
      <alignment horizontal="center" wrapText="1"/>
      <protection hidden="1"/>
    </xf>
    <xf numFmtId="0" fontId="0" fillId="0" borderId="73" xfId="0" applyBorder="1" applyAlignment="1" applyProtection="1">
      <alignment horizontal="center" wrapText="1"/>
      <protection hidden="1"/>
    </xf>
    <xf numFmtId="0" fontId="0" fillId="0" borderId="74" xfId="0" applyBorder="1" applyAlignment="1" applyProtection="1">
      <alignment horizontal="center" vertical="center"/>
      <protection hidden="1"/>
    </xf>
    <xf numFmtId="174" fontId="0" fillId="0" borderId="3" xfId="0" applyNumberFormat="1" applyFont="1" applyFill="1" applyBorder="1" applyAlignment="1" applyProtection="1">
      <alignment horizontal="center" vertical="center"/>
      <protection hidden="1"/>
    </xf>
    <xf numFmtId="169" fontId="7" fillId="20" borderId="24" xfId="0" applyNumberFormat="1" applyFont="1" applyFill="1" applyBorder="1" applyAlignment="1" applyProtection="1">
      <alignment horizontal="center"/>
      <protection hidden="1"/>
    </xf>
    <xf numFmtId="169" fontId="7" fillId="20" borderId="14" xfId="0" applyNumberFormat="1" applyFont="1" applyFill="1" applyBorder="1" applyAlignment="1" applyProtection="1">
      <alignment horizontal="center"/>
      <protection hidden="1"/>
    </xf>
    <xf numFmtId="164" fontId="7" fillId="20" borderId="25" xfId="0" applyNumberFormat="1" applyFont="1" applyFill="1" applyBorder="1" applyAlignment="1" applyProtection="1">
      <alignment horizontal="center"/>
      <protection hidden="1"/>
    </xf>
    <xf numFmtId="169" fontId="7" fillId="20" borderId="40" xfId="0" applyNumberFormat="1" applyFont="1" applyFill="1" applyBorder="1" applyAlignment="1" applyProtection="1">
      <alignment horizontal="center"/>
      <protection hidden="1"/>
    </xf>
    <xf numFmtId="3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72" xfId="0" applyBorder="1" applyAlignment="1" applyProtection="1">
      <alignment horizontal="center" vertical="center" wrapText="1"/>
      <protection hidden="1"/>
    </xf>
    <xf numFmtId="0" fontId="0" fillId="0" borderId="73" xfId="0" applyBorder="1" applyAlignment="1" applyProtection="1">
      <alignment horizontal="center" vertical="center" wrapText="1"/>
      <protection hidden="1"/>
    </xf>
    <xf numFmtId="0" fontId="0" fillId="0" borderId="3" xfId="0" applyFont="1" applyFill="1" applyBorder="1" applyAlignment="1" applyProtection="1">
      <alignment horizontal="center" vertical="center"/>
      <protection hidden="1"/>
    </xf>
    <xf numFmtId="174" fontId="7" fillId="0" borderId="0" xfId="0" applyNumberFormat="1" applyFont="1" applyFill="1" applyBorder="1" applyAlignment="1" applyProtection="1">
      <alignment horizontal="center" vertical="center"/>
      <protection hidden="1"/>
    </xf>
    <xf numFmtId="169" fontId="7" fillId="20" borderId="14" xfId="0" applyNumberFormat="1" applyFont="1" applyFill="1" applyBorder="1" applyAlignment="1" applyProtection="1">
      <alignment horizontal="center" vertical="center"/>
      <protection hidden="1"/>
    </xf>
    <xf numFmtId="175" fontId="7" fillId="20" borderId="2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 wrapText="1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47" fillId="0" borderId="0" xfId="0" applyFont="1" applyFill="1" applyBorder="1" applyAlignment="1" applyProtection="1">
      <alignment vertical="center"/>
      <protection hidden="1"/>
    </xf>
    <xf numFmtId="167" fontId="47" fillId="20" borderId="26" xfId="0" applyNumberFormat="1" applyFont="1" applyFill="1" applyBorder="1" applyAlignment="1" applyProtection="1">
      <alignment horizontal="center"/>
      <protection hidden="1"/>
    </xf>
    <xf numFmtId="0" fontId="36" fillId="20" borderId="24" xfId="0" applyNumberFormat="1" applyFont="1" applyFill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20" borderId="12" xfId="0" applyFill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right"/>
      <protection hidden="1"/>
    </xf>
    <xf numFmtId="0" fontId="0" fillId="20" borderId="13" xfId="0" applyFill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right" vertical="center" wrapText="1"/>
      <protection hidden="1"/>
    </xf>
    <xf numFmtId="0" fontId="0" fillId="20" borderId="13" xfId="0" applyFill="1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right" vertical="center" wrapText="1"/>
      <protection hidden="1"/>
    </xf>
    <xf numFmtId="0" fontId="0" fillId="20" borderId="25" xfId="0" applyFill="1" applyBorder="1" applyAlignment="1" applyProtection="1">
      <alignment horizontal="center"/>
      <protection hidden="1"/>
    </xf>
    <xf numFmtId="0" fontId="47" fillId="0" borderId="41" xfId="0" applyFont="1" applyFill="1" applyBorder="1" applyAlignment="1" applyProtection="1">
      <alignment horizontal="right" vertical="center"/>
      <protection hidden="1"/>
    </xf>
    <xf numFmtId="2" fontId="47" fillId="20" borderId="9" xfId="0" applyNumberFormat="1" applyFont="1" applyFill="1" applyBorder="1" applyAlignment="1" applyProtection="1">
      <alignment horizontal="center" vertical="center"/>
      <protection hidden="1"/>
    </xf>
    <xf numFmtId="0" fontId="77" fillId="16" borderId="26" xfId="9" applyFont="1" applyFill="1" applyBorder="1" applyAlignment="1" applyProtection="1">
      <alignment horizontal="center" vertical="center" wrapText="1"/>
      <protection hidden="1"/>
    </xf>
    <xf numFmtId="0" fontId="79" fillId="27" borderId="31" xfId="9" applyFont="1" applyFill="1" applyBorder="1" applyAlignment="1" applyProtection="1">
      <alignment horizontal="center" vertical="center" wrapText="1"/>
      <protection hidden="1"/>
    </xf>
    <xf numFmtId="0" fontId="79" fillId="27" borderId="33" xfId="9" applyFont="1" applyFill="1" applyBorder="1" applyAlignment="1" applyProtection="1">
      <alignment horizontal="center" vertical="center" wrapText="1"/>
      <protection hidden="1"/>
    </xf>
    <xf numFmtId="0" fontId="79" fillId="27" borderId="81" xfId="9" applyFont="1" applyFill="1" applyBorder="1" applyAlignment="1" applyProtection="1">
      <alignment horizontal="center" vertical="center" wrapText="1"/>
      <protection hidden="1"/>
    </xf>
    <xf numFmtId="0" fontId="77" fillId="16" borderId="26" xfId="9" applyFont="1" applyFill="1" applyBorder="1" applyAlignment="1" applyProtection="1">
      <alignment vertical="center" wrapText="1"/>
      <protection hidden="1"/>
    </xf>
    <xf numFmtId="0" fontId="79" fillId="27" borderId="70" xfId="9" applyFont="1" applyFill="1" applyBorder="1" applyAlignment="1" applyProtection="1">
      <alignment horizontal="center" vertical="center" wrapText="1"/>
      <protection hidden="1"/>
    </xf>
    <xf numFmtId="0" fontId="79" fillId="27" borderId="34" xfId="9" applyFont="1" applyFill="1" applyBorder="1" applyAlignment="1" applyProtection="1">
      <alignment horizontal="center" vertical="center" wrapText="1"/>
      <protection hidden="1"/>
    </xf>
    <xf numFmtId="0" fontId="79" fillId="27" borderId="35" xfId="9" applyFont="1" applyFill="1" applyBorder="1" applyAlignment="1" applyProtection="1">
      <alignment horizontal="center" vertical="center" wrapText="1"/>
      <protection hidden="1"/>
    </xf>
    <xf numFmtId="0" fontId="82" fillId="2" borderId="78" xfId="9" applyFont="1" applyFill="1" applyBorder="1" applyAlignment="1" applyProtection="1">
      <alignment vertical="center" wrapText="1"/>
      <protection hidden="1"/>
    </xf>
    <xf numFmtId="0" fontId="82" fillId="2" borderId="79" xfId="9" applyFont="1" applyFill="1" applyBorder="1" applyAlignment="1" applyProtection="1">
      <alignment vertical="center" wrapText="1"/>
      <protection hidden="1"/>
    </xf>
    <xf numFmtId="0" fontId="82" fillId="2" borderId="80" xfId="9" applyFont="1" applyFill="1" applyBorder="1" applyAlignment="1" applyProtection="1">
      <alignment vertical="center" wrapText="1"/>
      <protection hidden="1"/>
    </xf>
    <xf numFmtId="167" fontId="7" fillId="20" borderId="24" xfId="0" applyNumberFormat="1" applyFont="1" applyFill="1" applyBorder="1" applyAlignment="1" applyProtection="1">
      <alignment horizontal="center" vertical="center"/>
      <protection hidden="1"/>
    </xf>
    <xf numFmtId="0" fontId="66" fillId="0" borderId="23" xfId="0" applyFont="1" applyBorder="1" applyAlignment="1" applyProtection="1">
      <alignment horizontal="right"/>
      <protection hidden="1"/>
    </xf>
    <xf numFmtId="0" fontId="66" fillId="20" borderId="13" xfId="0" applyFont="1" applyFill="1" applyBorder="1" applyAlignment="1" applyProtection="1">
      <alignment horizontal="center"/>
      <protection hidden="1"/>
    </xf>
    <xf numFmtId="0" fontId="26" fillId="16" borderId="4" xfId="0" applyFont="1" applyFill="1" applyBorder="1" applyAlignment="1" applyProtection="1">
      <alignment horizontal="left" vertical="center" wrapText="1"/>
      <protection hidden="1"/>
    </xf>
    <xf numFmtId="0" fontId="26" fillId="16" borderId="5" xfId="0" applyFont="1" applyFill="1" applyBorder="1" applyAlignment="1" applyProtection="1">
      <alignment horizontal="left" vertical="center" wrapText="1"/>
      <protection hidden="1"/>
    </xf>
    <xf numFmtId="0" fontId="26" fillId="16" borderId="2" xfId="0" applyFont="1" applyFill="1" applyBorder="1" applyAlignment="1" applyProtection="1">
      <alignment horizontal="left" vertical="center" wrapText="1"/>
      <protection hidden="1"/>
    </xf>
    <xf numFmtId="0" fontId="26" fillId="16" borderId="8" xfId="0" applyFont="1" applyFill="1" applyBorder="1" applyAlignment="1" applyProtection="1">
      <alignment horizontal="left" vertical="center" wrapText="1"/>
      <protection hidden="1"/>
    </xf>
    <xf numFmtId="0" fontId="26" fillId="23" borderId="4" xfId="0" applyFont="1" applyFill="1" applyBorder="1" applyAlignment="1" applyProtection="1">
      <alignment horizontal="center" vertical="center" wrapText="1"/>
      <protection hidden="1"/>
    </xf>
    <xf numFmtId="0" fontId="26" fillId="23" borderId="21" xfId="0" applyFont="1" applyFill="1" applyBorder="1" applyAlignment="1" applyProtection="1">
      <alignment horizontal="center" vertical="center" wrapText="1"/>
      <protection hidden="1"/>
    </xf>
    <xf numFmtId="0" fontId="26" fillId="23" borderId="2" xfId="0" applyFont="1" applyFill="1" applyBorder="1" applyAlignment="1" applyProtection="1">
      <alignment horizontal="center" vertical="center" wrapText="1"/>
      <protection hidden="1"/>
    </xf>
    <xf numFmtId="0" fontId="26" fillId="23" borderId="9" xfId="0" applyFont="1" applyFill="1" applyBorder="1" applyAlignment="1" applyProtection="1">
      <alignment horizontal="center" vertical="center" wrapText="1"/>
      <protection hidden="1"/>
    </xf>
    <xf numFmtId="0" fontId="32" fillId="16" borderId="1" xfId="0" applyFont="1" applyFill="1" applyBorder="1" applyAlignment="1" applyProtection="1">
      <alignment horizontal="center" vertical="center" wrapText="1"/>
      <protection hidden="1"/>
    </xf>
    <xf numFmtId="0" fontId="32" fillId="16" borderId="0" xfId="0" applyFont="1" applyFill="1" applyBorder="1" applyAlignment="1" applyProtection="1">
      <alignment horizontal="center" vertical="center" wrapText="1"/>
      <protection hidden="1"/>
    </xf>
    <xf numFmtId="0" fontId="32" fillId="16" borderId="15" xfId="0" applyFont="1" applyFill="1" applyBorder="1" applyAlignment="1" applyProtection="1">
      <alignment horizontal="center" vertical="center" wrapText="1"/>
      <protection hidden="1"/>
    </xf>
    <xf numFmtId="0" fontId="69" fillId="17" borderId="16" xfId="0" applyFont="1" applyFill="1" applyBorder="1" applyAlignment="1" applyProtection="1">
      <alignment horizontal="center" vertical="center" wrapText="1"/>
      <protection hidden="1"/>
    </xf>
    <xf numFmtId="0" fontId="69" fillId="17" borderId="17" xfId="0" applyFont="1" applyFill="1" applyBorder="1" applyAlignment="1" applyProtection="1">
      <alignment horizontal="center" vertical="center" wrapText="1"/>
      <protection hidden="1"/>
    </xf>
    <xf numFmtId="0" fontId="69" fillId="17" borderId="27" xfId="0" applyFont="1" applyFill="1" applyBorder="1" applyAlignment="1" applyProtection="1">
      <alignment horizontal="center" vertical="center" wrapText="1"/>
      <protection hidden="1"/>
    </xf>
    <xf numFmtId="0" fontId="23" fillId="16" borderId="1" xfId="0" quotePrefix="1" applyFont="1" applyFill="1" applyBorder="1" applyAlignment="1" applyProtection="1">
      <alignment horizontal="left" vertical="center" wrapText="1"/>
      <protection hidden="1"/>
    </xf>
    <xf numFmtId="0" fontId="23" fillId="16" borderId="0" xfId="0" quotePrefix="1" applyFont="1" applyFill="1" applyBorder="1" applyAlignment="1" applyProtection="1">
      <alignment horizontal="left" vertical="center" wrapText="1"/>
      <protection hidden="1"/>
    </xf>
    <xf numFmtId="0" fontId="23" fillId="16" borderId="15" xfId="0" quotePrefix="1" applyFont="1" applyFill="1" applyBorder="1" applyAlignment="1" applyProtection="1">
      <alignment horizontal="left" vertical="center" wrapText="1"/>
      <protection hidden="1"/>
    </xf>
    <xf numFmtId="0" fontId="32" fillId="16" borderId="1" xfId="0" applyFont="1" applyFill="1" applyBorder="1" applyAlignment="1" applyProtection="1">
      <alignment horizontal="left" vertical="center" wrapText="1"/>
      <protection hidden="1"/>
    </xf>
    <xf numFmtId="0" fontId="32" fillId="16" borderId="0" xfId="0" applyFont="1" applyFill="1" applyBorder="1" applyAlignment="1" applyProtection="1">
      <alignment horizontal="left" vertical="center" wrapText="1"/>
      <protection hidden="1"/>
    </xf>
    <xf numFmtId="0" fontId="32" fillId="16" borderId="15" xfId="0" applyFont="1" applyFill="1" applyBorder="1" applyAlignment="1" applyProtection="1">
      <alignment horizontal="left" vertical="center" wrapText="1"/>
      <protection hidden="1"/>
    </xf>
    <xf numFmtId="0" fontId="23" fillId="16" borderId="0" xfId="0" applyFont="1" applyFill="1" applyBorder="1" applyAlignment="1" applyProtection="1">
      <alignment horizontal="left" vertical="center" wrapText="1"/>
      <protection hidden="1"/>
    </xf>
    <xf numFmtId="0" fontId="23" fillId="16" borderId="1" xfId="0" quotePrefix="1" applyFont="1" applyFill="1" applyBorder="1" applyAlignment="1" applyProtection="1">
      <alignment vertical="center" wrapText="1"/>
      <protection hidden="1"/>
    </xf>
    <xf numFmtId="0" fontId="23" fillId="16" borderId="0" xfId="0" quotePrefix="1" applyFont="1" applyFill="1" applyBorder="1" applyAlignment="1" applyProtection="1">
      <alignment vertical="center" wrapText="1"/>
      <protection hidden="1"/>
    </xf>
    <xf numFmtId="0" fontId="0" fillId="16" borderId="0" xfId="0" applyFill="1" applyBorder="1" applyAlignment="1" applyProtection="1">
      <alignment vertical="center" wrapText="1"/>
      <protection hidden="1"/>
    </xf>
    <xf numFmtId="0" fontId="0" fillId="16" borderId="15" xfId="0" applyFill="1" applyBorder="1" applyAlignment="1" applyProtection="1">
      <alignment vertical="center" wrapText="1"/>
      <protection hidden="1"/>
    </xf>
    <xf numFmtId="0" fontId="26" fillId="16" borderId="1" xfId="0" applyFont="1" applyFill="1" applyBorder="1" applyAlignment="1" applyProtection="1">
      <alignment horizontal="center" vertical="center" wrapText="1"/>
      <protection hidden="1"/>
    </xf>
    <xf numFmtId="0" fontId="26" fillId="16" borderId="0" xfId="0" applyFont="1" applyFill="1" applyBorder="1" applyAlignment="1" applyProtection="1">
      <alignment horizontal="center" vertical="center" wrapText="1"/>
      <protection hidden="1"/>
    </xf>
    <xf numFmtId="0" fontId="26" fillId="16" borderId="15" xfId="0" applyFont="1" applyFill="1" applyBorder="1" applyAlignment="1" applyProtection="1">
      <alignment horizontal="center" vertical="center" wrapText="1"/>
      <protection hidden="1"/>
    </xf>
    <xf numFmtId="0" fontId="26" fillId="16" borderId="1" xfId="0" applyFont="1" applyFill="1" applyBorder="1" applyAlignment="1" applyProtection="1">
      <alignment horizontal="left" vertical="center" wrapText="1"/>
      <protection hidden="1"/>
    </xf>
    <xf numFmtId="0" fontId="26" fillId="16" borderId="0" xfId="0" applyFont="1" applyFill="1" applyBorder="1" applyAlignment="1" applyProtection="1">
      <alignment horizontal="left" vertical="center" wrapText="1"/>
      <protection hidden="1"/>
    </xf>
    <xf numFmtId="0" fontId="49" fillId="16" borderId="1" xfId="0" quotePrefix="1" applyFont="1" applyFill="1" applyBorder="1" applyAlignment="1" applyProtection="1">
      <alignment horizontal="left" vertical="center" wrapText="1"/>
      <protection hidden="1"/>
    </xf>
    <xf numFmtId="0" fontId="49" fillId="16" borderId="0" xfId="0" quotePrefix="1" applyFont="1" applyFill="1" applyBorder="1" applyAlignment="1" applyProtection="1">
      <alignment horizontal="left" vertical="center" wrapText="1"/>
      <protection hidden="1"/>
    </xf>
    <xf numFmtId="0" fontId="12" fillId="2" borderId="4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left" vertical="center" wrapText="1"/>
    </xf>
    <xf numFmtId="0" fontId="12" fillId="2" borderId="21" xfId="0" applyFon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 applyProtection="1">
      <alignment horizontal="left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12" fillId="2" borderId="9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0" fillId="23" borderId="18" xfId="0" applyFill="1" applyBorder="1" applyAlignment="1" applyProtection="1">
      <alignment horizontal="left" vertical="center"/>
      <protection locked="0"/>
    </xf>
    <xf numFmtId="0" fontId="0" fillId="23" borderId="19" xfId="0" applyFill="1" applyBorder="1" applyAlignment="1" applyProtection="1">
      <alignment horizontal="left" vertical="center"/>
      <protection locked="0"/>
    </xf>
    <xf numFmtId="0" fontId="0" fillId="23" borderId="20" xfId="0" applyFill="1" applyBorder="1" applyAlignment="1" applyProtection="1">
      <alignment horizontal="left" vertical="center"/>
      <protection locked="0"/>
    </xf>
    <xf numFmtId="0" fontId="0" fillId="23" borderId="3" xfId="0" applyFill="1" applyBorder="1" applyAlignment="1" applyProtection="1">
      <alignment horizontal="left" vertical="center"/>
      <protection locked="0"/>
    </xf>
    <xf numFmtId="3" fontId="7" fillId="20" borderId="18" xfId="0" applyNumberFormat="1" applyFont="1" applyFill="1" applyBorder="1" applyAlignment="1" applyProtection="1">
      <alignment horizontal="center" vertical="center"/>
      <protection hidden="1"/>
    </xf>
    <xf numFmtId="3" fontId="7" fillId="20" borderId="19" xfId="0" applyNumberFormat="1" applyFont="1" applyFill="1" applyBorder="1" applyAlignment="1" applyProtection="1">
      <alignment horizontal="center" vertical="center"/>
      <protection hidden="1"/>
    </xf>
    <xf numFmtId="3" fontId="7" fillId="20" borderId="20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center" vertical="center" wrapText="1"/>
      <protection hidden="1"/>
    </xf>
    <xf numFmtId="0" fontId="13" fillId="0" borderId="37" xfId="0" applyFont="1" applyBorder="1" applyAlignment="1" applyProtection="1">
      <alignment horizontal="center" vertical="center"/>
      <protection hidden="1"/>
    </xf>
    <xf numFmtId="0" fontId="7" fillId="0" borderId="37" xfId="0" applyFont="1" applyBorder="1" applyAlignment="1" applyProtection="1">
      <alignment horizontal="center" vertical="center" wrapText="1"/>
      <protection hidden="1"/>
    </xf>
    <xf numFmtId="0" fontId="22" fillId="2" borderId="15" xfId="0" applyFont="1" applyFill="1" applyBorder="1" applyAlignment="1" applyProtection="1">
      <alignment horizontal="center" vertical="center" wrapText="1"/>
      <protection hidden="1"/>
    </xf>
    <xf numFmtId="2" fontId="7" fillId="20" borderId="18" xfId="0" applyNumberFormat="1" applyFont="1" applyFill="1" applyBorder="1" applyAlignment="1" applyProtection="1">
      <alignment horizontal="center" vertical="center"/>
      <protection hidden="1"/>
    </xf>
    <xf numFmtId="2" fontId="7" fillId="20" borderId="19" xfId="0" applyNumberFormat="1" applyFont="1" applyFill="1" applyBorder="1" applyAlignment="1" applyProtection="1">
      <alignment horizontal="center" vertical="center"/>
      <protection hidden="1"/>
    </xf>
    <xf numFmtId="2" fontId="7" fillId="20" borderId="20" xfId="0" applyNumberFormat="1" applyFont="1" applyFill="1" applyBorder="1" applyAlignment="1" applyProtection="1">
      <alignment horizontal="center" vertical="center"/>
      <protection hidden="1"/>
    </xf>
    <xf numFmtId="167" fontId="7" fillId="20" borderId="18" xfId="0" applyNumberFormat="1" applyFont="1" applyFill="1" applyBorder="1" applyAlignment="1" applyProtection="1">
      <alignment horizontal="center" vertical="center"/>
      <protection hidden="1"/>
    </xf>
    <xf numFmtId="167" fontId="7" fillId="20" borderId="19" xfId="0" applyNumberFormat="1" applyFont="1" applyFill="1" applyBorder="1" applyAlignment="1" applyProtection="1">
      <alignment horizontal="center" vertical="center"/>
      <protection hidden="1"/>
    </xf>
    <xf numFmtId="167" fontId="7" fillId="20" borderId="20" xfId="0" applyNumberFormat="1" applyFont="1" applyFill="1" applyBorder="1" applyAlignment="1" applyProtection="1">
      <alignment horizontal="center" vertical="center"/>
      <protection hidden="1"/>
    </xf>
    <xf numFmtId="0" fontId="62" fillId="2" borderId="0" xfId="0" applyFont="1" applyFill="1" applyBorder="1" applyAlignment="1" applyProtection="1">
      <alignment horizontal="center" vertical="center"/>
    </xf>
    <xf numFmtId="0" fontId="66" fillId="23" borderId="18" xfId="0" applyFont="1" applyFill="1" applyBorder="1" applyAlignment="1" applyProtection="1">
      <alignment horizontal="center" vertical="center"/>
      <protection locked="0"/>
    </xf>
    <xf numFmtId="0" fontId="66" fillId="23" borderId="20" xfId="0" applyFont="1" applyFill="1" applyBorder="1" applyAlignment="1" applyProtection="1">
      <alignment horizontal="center" vertical="center"/>
      <protection locked="0"/>
    </xf>
    <xf numFmtId="0" fontId="12" fillId="23" borderId="18" xfId="0" applyFont="1" applyFill="1" applyBorder="1" applyAlignment="1" applyProtection="1">
      <alignment horizontal="center" vertical="center" wrapText="1"/>
      <protection locked="0"/>
    </xf>
    <xf numFmtId="0" fontId="12" fillId="23" borderId="20" xfId="0" applyFont="1" applyFill="1" applyBorder="1" applyAlignment="1" applyProtection="1">
      <alignment horizontal="center" vertical="center" wrapText="1"/>
      <protection locked="0"/>
    </xf>
    <xf numFmtId="0" fontId="12" fillId="2" borderId="39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left" vertical="top" wrapText="1"/>
    </xf>
    <xf numFmtId="0" fontId="16" fillId="0" borderId="15" xfId="0" applyFont="1" applyFill="1" applyBorder="1" applyAlignment="1" applyProtection="1">
      <alignment horizontal="left" vertical="top" wrapText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1" fillId="0" borderId="41" xfId="0" applyFont="1" applyBorder="1" applyAlignment="1" applyProtection="1">
      <alignment horizontal="left" vertical="center" wrapText="1"/>
      <protection hidden="1"/>
    </xf>
    <xf numFmtId="0" fontId="0" fillId="0" borderId="42" xfId="0" applyBorder="1" applyAlignment="1" applyProtection="1">
      <alignment horizontal="left" vertical="center" wrapText="1"/>
      <protection hidden="1"/>
    </xf>
    <xf numFmtId="0" fontId="43" fillId="2" borderId="16" xfId="0" applyFont="1" applyFill="1" applyBorder="1" applyAlignment="1" applyProtection="1">
      <alignment horizontal="left" vertical="center" wrapText="1"/>
      <protection hidden="1"/>
    </xf>
    <xf numFmtId="0" fontId="43" fillId="2" borderId="17" xfId="0" applyFont="1" applyFill="1" applyBorder="1" applyAlignment="1" applyProtection="1">
      <alignment horizontal="left" vertical="center" wrapText="1"/>
      <protection hidden="1"/>
    </xf>
    <xf numFmtId="0" fontId="43" fillId="2" borderId="17" xfId="0" applyFont="1" applyFill="1" applyBorder="1" applyAlignment="1" applyProtection="1">
      <alignment horizontal="left" vertical="center"/>
      <protection hidden="1"/>
    </xf>
    <xf numFmtId="0" fontId="43" fillId="2" borderId="27" xfId="0" applyFont="1" applyFill="1" applyBorder="1" applyAlignment="1" applyProtection="1">
      <alignment horizontal="left" vertical="center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8" fillId="2" borderId="59" xfId="0" applyFont="1" applyFill="1" applyBorder="1" applyAlignment="1" applyProtection="1">
      <alignment horizontal="center" vertical="center" wrapText="1"/>
      <protection hidden="1"/>
    </xf>
    <xf numFmtId="0" fontId="8" fillId="2" borderId="44" xfId="0" applyFont="1" applyFill="1" applyBorder="1" applyAlignment="1" applyProtection="1">
      <alignment horizontal="center" vertical="center" wrapText="1"/>
      <protection hidden="1"/>
    </xf>
    <xf numFmtId="0" fontId="8" fillId="20" borderId="44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/>
      <protection hidden="1"/>
    </xf>
    <xf numFmtId="0" fontId="7" fillId="0" borderId="17" xfId="0" applyFont="1" applyFill="1" applyBorder="1" applyAlignment="1" applyProtection="1">
      <alignment horizontal="center" vertical="center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15" fillId="10" borderId="0" xfId="0" applyFont="1" applyFill="1" applyBorder="1" applyAlignment="1" applyProtection="1">
      <alignment horizontal="left" vertical="center"/>
      <protection hidden="1"/>
    </xf>
    <xf numFmtId="0" fontId="8" fillId="5" borderId="67" xfId="0" applyFont="1" applyFill="1" applyBorder="1" applyAlignment="1" applyProtection="1">
      <alignment horizontal="left" vertical="center" wrapText="1"/>
      <protection hidden="1"/>
    </xf>
    <xf numFmtId="0" fontId="8" fillId="5" borderId="64" xfId="0" applyFont="1" applyFill="1" applyBorder="1" applyAlignment="1" applyProtection="1">
      <alignment horizontal="left" vertical="center" wrapText="1"/>
      <protection hidden="1"/>
    </xf>
    <xf numFmtId="0" fontId="8" fillId="5" borderId="43" xfId="0" applyFont="1" applyFill="1" applyBorder="1" applyAlignment="1" applyProtection="1">
      <alignment horizontal="left" vertical="center" wrapText="1"/>
      <protection hidden="1"/>
    </xf>
    <xf numFmtId="0" fontId="8" fillId="5" borderId="19" xfId="0" applyFont="1" applyFill="1" applyBorder="1" applyAlignment="1" applyProtection="1">
      <alignment horizontal="left" vertical="center" wrapText="1"/>
      <protection hidden="1"/>
    </xf>
    <xf numFmtId="0" fontId="8" fillId="11" borderId="43" xfId="0" applyFont="1" applyFill="1" applyBorder="1" applyAlignment="1" applyProtection="1">
      <alignment horizontal="left" vertical="center" wrapText="1"/>
      <protection hidden="1"/>
    </xf>
    <xf numFmtId="0" fontId="8" fillId="11" borderId="19" xfId="0" applyFont="1" applyFill="1" applyBorder="1" applyAlignment="1" applyProtection="1">
      <alignment horizontal="left" vertical="center" wrapText="1"/>
      <protection hidden="1"/>
    </xf>
    <xf numFmtId="0" fontId="7" fillId="2" borderId="16" xfId="0" applyFont="1" applyFill="1" applyBorder="1" applyAlignment="1" applyProtection="1">
      <alignment horizontal="center"/>
      <protection hidden="1"/>
    </xf>
    <xf numFmtId="0" fontId="7" fillId="2" borderId="17" xfId="0" applyFont="1" applyFill="1" applyBorder="1" applyAlignment="1" applyProtection="1">
      <alignment horizontal="center"/>
      <protection hidden="1"/>
    </xf>
    <xf numFmtId="0" fontId="7" fillId="2" borderId="27" xfId="0" applyFont="1" applyFill="1" applyBorder="1" applyAlignment="1" applyProtection="1">
      <alignment horizont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7" fillId="2" borderId="16" xfId="0" applyFont="1" applyFill="1" applyBorder="1" applyAlignment="1" applyProtection="1">
      <alignment horizontal="left"/>
      <protection hidden="1"/>
    </xf>
    <xf numFmtId="0" fontId="7" fillId="2" borderId="17" xfId="0" applyFont="1" applyFill="1" applyBorder="1" applyAlignment="1" applyProtection="1">
      <alignment horizontal="left"/>
      <protection hidden="1"/>
    </xf>
    <xf numFmtId="0" fontId="7" fillId="2" borderId="27" xfId="0" applyFont="1" applyFill="1" applyBorder="1" applyAlignment="1" applyProtection="1">
      <alignment horizontal="left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8" fillId="0" borderId="59" xfId="0" applyFont="1" applyFill="1" applyBorder="1" applyAlignment="1" applyProtection="1">
      <alignment horizontal="center" vertical="center" wrapText="1"/>
      <protection hidden="1"/>
    </xf>
    <xf numFmtId="0" fontId="8" fillId="0" borderId="44" xfId="0" applyFont="1" applyFill="1" applyBorder="1" applyAlignment="1" applyProtection="1">
      <alignment horizontal="center" vertical="center" wrapText="1"/>
      <protection hidden="1"/>
    </xf>
    <xf numFmtId="3" fontId="0" fillId="23" borderId="10" xfId="4" applyNumberFormat="1" applyFont="1" applyFill="1" applyBorder="1" applyAlignment="1" applyProtection="1">
      <alignment horizontal="center" vertical="center"/>
      <protection locked="0"/>
    </xf>
    <xf numFmtId="3" fontId="0" fillId="23" borderId="44" xfId="4" applyNumberFormat="1" applyFont="1" applyFill="1" applyBorder="1" applyAlignment="1" applyProtection="1">
      <alignment horizontal="center" vertical="center"/>
      <protection locked="0"/>
    </xf>
    <xf numFmtId="3" fontId="0" fillId="23" borderId="50" xfId="4" applyNumberFormat="1" applyFont="1" applyFill="1" applyBorder="1" applyAlignment="1" applyProtection="1">
      <alignment horizontal="center" vertical="center"/>
      <protection locked="0"/>
    </xf>
    <xf numFmtId="3" fontId="0" fillId="20" borderId="10" xfId="0" applyNumberFormat="1" applyFill="1" applyBorder="1" applyAlignment="1" applyProtection="1">
      <alignment horizontal="center" vertical="center"/>
      <protection hidden="1"/>
    </xf>
    <xf numFmtId="3" fontId="0" fillId="20" borderId="44" xfId="0" applyNumberFormat="1" applyFill="1" applyBorder="1" applyAlignment="1" applyProtection="1">
      <alignment horizontal="center" vertical="center"/>
      <protection hidden="1"/>
    </xf>
    <xf numFmtId="3" fontId="0" fillId="20" borderId="50" xfId="0" applyNumberFormat="1" applyFill="1" applyBorder="1" applyAlignment="1" applyProtection="1">
      <alignment horizontal="center" vertical="center"/>
      <protection hidden="1"/>
    </xf>
    <xf numFmtId="1" fontId="0" fillId="20" borderId="49" xfId="0" applyNumberFormat="1" applyFill="1" applyBorder="1" applyAlignment="1" applyProtection="1">
      <alignment horizontal="center" vertical="center"/>
      <protection hidden="1"/>
    </xf>
    <xf numFmtId="1" fontId="0" fillId="20" borderId="53" xfId="0" applyNumberFormat="1" applyFill="1" applyBorder="1" applyAlignment="1" applyProtection="1">
      <alignment horizontal="center" vertical="center"/>
      <protection hidden="1"/>
    </xf>
    <xf numFmtId="1" fontId="0" fillId="20" borderId="52" xfId="0" applyNumberFormat="1" applyFill="1" applyBorder="1" applyAlignment="1" applyProtection="1">
      <alignment horizontal="center" vertical="center"/>
      <protection hidden="1"/>
    </xf>
    <xf numFmtId="167" fontId="0" fillId="20" borderId="10" xfId="0" applyNumberFormat="1" applyFill="1" applyBorder="1" applyAlignment="1" applyProtection="1">
      <alignment horizontal="center" vertical="center"/>
      <protection hidden="1"/>
    </xf>
    <xf numFmtId="167" fontId="0" fillId="20" borderId="44" xfId="0" applyNumberFormat="1" applyFill="1" applyBorder="1" applyAlignment="1" applyProtection="1">
      <alignment horizontal="center" vertical="center"/>
      <protection hidden="1"/>
    </xf>
    <xf numFmtId="167" fontId="0" fillId="20" borderId="50" xfId="0" applyNumberFormat="1" applyFill="1" applyBorder="1" applyAlignment="1" applyProtection="1">
      <alignment horizontal="center" vertical="center"/>
      <protection hidden="1"/>
    </xf>
    <xf numFmtId="164" fontId="0" fillId="20" borderId="10" xfId="2" applyNumberFormat="1" applyFont="1" applyFill="1" applyBorder="1" applyAlignment="1" applyProtection="1">
      <alignment horizontal="center" vertical="center"/>
      <protection hidden="1"/>
    </xf>
    <xf numFmtId="164" fontId="0" fillId="20" borderId="44" xfId="2" applyNumberFormat="1" applyFont="1" applyFill="1" applyBorder="1" applyAlignment="1" applyProtection="1">
      <alignment horizontal="center" vertical="center"/>
      <protection hidden="1"/>
    </xf>
    <xf numFmtId="164" fontId="0" fillId="20" borderId="50" xfId="2" applyNumberFormat="1" applyFont="1" applyFill="1" applyBorder="1" applyAlignment="1" applyProtection="1">
      <alignment horizontal="center" vertical="center"/>
      <protection hidden="1"/>
    </xf>
    <xf numFmtId="4" fontId="0" fillId="20" borderId="10" xfId="0" applyNumberFormat="1" applyFill="1" applyBorder="1" applyAlignment="1" applyProtection="1">
      <alignment horizontal="center" vertical="center"/>
      <protection hidden="1"/>
    </xf>
    <xf numFmtId="4" fontId="0" fillId="20" borderId="44" xfId="0" applyNumberFormat="1" applyFill="1" applyBorder="1" applyAlignment="1" applyProtection="1">
      <alignment horizontal="center" vertical="center"/>
      <protection hidden="1"/>
    </xf>
    <xf numFmtId="4" fontId="0" fillId="20" borderId="50" xfId="0" applyNumberFormat="1" applyFill="1" applyBorder="1" applyAlignment="1" applyProtection="1">
      <alignment horizontal="center" vertical="center"/>
      <protection hidden="1"/>
    </xf>
    <xf numFmtId="167" fontId="0" fillId="20" borderId="49" xfId="0" applyNumberFormat="1" applyFill="1" applyBorder="1" applyAlignment="1" applyProtection="1">
      <alignment horizontal="center" vertical="center"/>
      <protection hidden="1"/>
    </xf>
    <xf numFmtId="167" fontId="0" fillId="20" borderId="53" xfId="0" applyNumberFormat="1" applyFill="1" applyBorder="1" applyAlignment="1" applyProtection="1">
      <alignment horizontal="center" vertical="center"/>
      <protection hidden="1"/>
    </xf>
    <xf numFmtId="167" fontId="0" fillId="20" borderId="52" xfId="0" applyNumberFormat="1" applyFill="1" applyBorder="1" applyAlignment="1" applyProtection="1">
      <alignment horizontal="center" vertical="center"/>
      <protection hidden="1"/>
    </xf>
    <xf numFmtId="3" fontId="0" fillId="23" borderId="48" xfId="4" applyNumberFormat="1" applyFont="1" applyFill="1" applyBorder="1" applyAlignment="1" applyProtection="1">
      <alignment horizontal="center" vertical="center"/>
      <protection locked="0"/>
    </xf>
    <xf numFmtId="3" fontId="0" fillId="23" borderId="45" xfId="4" applyNumberFormat="1" applyFont="1" applyFill="1" applyBorder="1" applyAlignment="1" applyProtection="1">
      <alignment horizontal="center" vertical="center"/>
      <protection locked="0"/>
    </xf>
    <xf numFmtId="3" fontId="0" fillId="23" borderId="63" xfId="4" applyNumberFormat="1" applyFont="1" applyFill="1" applyBorder="1" applyAlignment="1" applyProtection="1">
      <alignment horizontal="center" vertical="center"/>
      <protection locked="0"/>
    </xf>
    <xf numFmtId="3" fontId="5" fillId="23" borderId="54" xfId="3" applyNumberFormat="1" applyFont="1" applyFill="1" applyBorder="1" applyAlignment="1" applyProtection="1">
      <alignment horizontal="center" vertical="center"/>
      <protection locked="0"/>
    </xf>
    <xf numFmtId="3" fontId="5" fillId="23" borderId="59" xfId="3" applyNumberFormat="1" applyFont="1" applyFill="1" applyBorder="1" applyAlignment="1" applyProtection="1">
      <alignment horizontal="center" vertical="center"/>
      <protection locked="0"/>
    </xf>
    <xf numFmtId="3" fontId="5" fillId="23" borderId="51" xfId="3" applyNumberFormat="1" applyFont="1" applyFill="1" applyBorder="1" applyAlignment="1" applyProtection="1">
      <alignment horizontal="center" vertical="center"/>
      <protection locked="0"/>
    </xf>
    <xf numFmtId="3" fontId="5" fillId="23" borderId="10" xfId="3" applyNumberFormat="1" applyFont="1" applyFill="1" applyBorder="1" applyAlignment="1" applyProtection="1">
      <alignment horizontal="center" vertical="center"/>
      <protection locked="0"/>
    </xf>
    <xf numFmtId="3" fontId="5" fillId="23" borderId="44" xfId="3" applyNumberFormat="1" applyFont="1" applyFill="1" applyBorder="1" applyAlignment="1" applyProtection="1">
      <alignment horizontal="center" vertical="center"/>
      <protection locked="0"/>
    </xf>
    <xf numFmtId="3" fontId="5" fillId="23" borderId="50" xfId="3" applyNumberFormat="1" applyFont="1" applyFill="1" applyBorder="1" applyAlignment="1" applyProtection="1">
      <alignment horizontal="center" vertical="center"/>
      <protection locked="0"/>
    </xf>
    <xf numFmtId="3" fontId="11" fillId="23" borderId="10" xfId="0" applyNumberFormat="1" applyFont="1" applyFill="1" applyBorder="1" applyAlignment="1" applyProtection="1">
      <alignment horizontal="center" vertical="center"/>
      <protection locked="0"/>
    </xf>
    <xf numFmtId="3" fontId="11" fillId="23" borderId="44" xfId="0" applyNumberFormat="1" applyFont="1" applyFill="1" applyBorder="1" applyAlignment="1" applyProtection="1">
      <alignment horizontal="center" vertical="center"/>
      <protection locked="0"/>
    </xf>
    <xf numFmtId="3" fontId="11" fillId="23" borderId="50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21" xfId="0" applyFill="1" applyBorder="1" applyAlignment="1" applyProtection="1">
      <alignment horizontal="center"/>
      <protection hidden="1"/>
    </xf>
    <xf numFmtId="167" fontId="0" fillId="3" borderId="6" xfId="0" applyNumberFormat="1" applyFill="1" applyBorder="1" applyAlignment="1" applyProtection="1">
      <alignment horizontal="right" vertical="center"/>
      <protection hidden="1"/>
    </xf>
    <xf numFmtId="167" fontId="0" fillId="3" borderId="35" xfId="0" applyNumberFormat="1" applyFill="1" applyBorder="1" applyAlignment="1" applyProtection="1">
      <alignment horizontal="right" vertical="center"/>
      <protection hidden="1"/>
    </xf>
    <xf numFmtId="167" fontId="0" fillId="3" borderId="22" xfId="0" applyNumberFormat="1" applyFill="1" applyBorder="1" applyAlignment="1" applyProtection="1">
      <alignment horizontal="right" vertical="center"/>
      <protection hidden="1"/>
    </xf>
    <xf numFmtId="167" fontId="9" fillId="2" borderId="6" xfId="0" applyNumberFormat="1" applyFont="1" applyFill="1" applyBorder="1" applyAlignment="1" applyProtection="1">
      <alignment horizontal="right" vertical="center"/>
      <protection hidden="1"/>
    </xf>
    <xf numFmtId="167" fontId="9" fillId="2" borderId="35" xfId="0" applyNumberFormat="1" applyFont="1" applyFill="1" applyBorder="1" applyAlignment="1" applyProtection="1">
      <alignment horizontal="right" vertical="center"/>
      <protection hidden="1"/>
    </xf>
    <xf numFmtId="167" fontId="9" fillId="2" borderId="22" xfId="0" applyNumberFormat="1" applyFont="1" applyFill="1" applyBorder="1" applyAlignment="1" applyProtection="1">
      <alignment horizontal="right" vertical="center"/>
      <protection hidden="1"/>
    </xf>
    <xf numFmtId="3" fontId="0" fillId="8" borderId="6" xfId="0" applyNumberFormat="1" applyFill="1" applyBorder="1" applyAlignment="1" applyProtection="1">
      <alignment horizontal="right" vertical="center"/>
      <protection hidden="1"/>
    </xf>
    <xf numFmtId="3" fontId="0" fillId="8" borderId="35" xfId="0" applyNumberFormat="1" applyFill="1" applyBorder="1" applyAlignment="1" applyProtection="1">
      <alignment horizontal="right" vertical="center"/>
      <protection hidden="1"/>
    </xf>
    <xf numFmtId="3" fontId="0" fillId="8" borderId="22" xfId="0" applyNumberFormat="1" applyFill="1" applyBorder="1" applyAlignment="1" applyProtection="1">
      <alignment horizontal="right" vertical="center"/>
      <protection hidden="1"/>
    </xf>
    <xf numFmtId="3" fontId="9" fillId="2" borderId="6" xfId="0" applyNumberFormat="1" applyFont="1" applyFill="1" applyBorder="1" applyAlignment="1" applyProtection="1">
      <alignment horizontal="right" vertical="center"/>
      <protection hidden="1"/>
    </xf>
    <xf numFmtId="3" fontId="9" fillId="2" borderId="35" xfId="0" applyNumberFormat="1" applyFont="1" applyFill="1" applyBorder="1" applyAlignment="1" applyProtection="1">
      <alignment horizontal="right" vertical="center"/>
      <protection hidden="1"/>
    </xf>
    <xf numFmtId="3" fontId="9" fillId="2" borderId="22" xfId="0" applyNumberFormat="1" applyFont="1" applyFill="1" applyBorder="1" applyAlignment="1" applyProtection="1">
      <alignment horizontal="right" vertical="center"/>
      <protection hidden="1"/>
    </xf>
    <xf numFmtId="3" fontId="0" fillId="0" borderId="47" xfId="4" applyNumberFormat="1" applyFont="1" applyBorder="1" applyAlignment="1" applyProtection="1">
      <alignment horizontal="center" vertical="center"/>
      <protection hidden="1"/>
    </xf>
    <xf numFmtId="3" fontId="0" fillId="0" borderId="46" xfId="4" applyNumberFormat="1" applyFont="1" applyBorder="1" applyAlignment="1" applyProtection="1">
      <alignment horizontal="center" vertical="center"/>
      <protection hidden="1"/>
    </xf>
    <xf numFmtId="3" fontId="0" fillId="0" borderId="48" xfId="4" applyNumberFormat="1" applyFont="1" applyBorder="1" applyAlignment="1" applyProtection="1">
      <alignment horizontal="center" vertical="center"/>
      <protection hidden="1"/>
    </xf>
    <xf numFmtId="3" fontId="0" fillId="0" borderId="39" xfId="4" applyNumberFormat="1" applyFont="1" applyBorder="1" applyAlignment="1" applyProtection="1">
      <alignment horizontal="center" vertical="center"/>
      <protection hidden="1"/>
    </xf>
    <xf numFmtId="3" fontId="0" fillId="0" borderId="0" xfId="4" applyNumberFormat="1" applyFont="1" applyBorder="1" applyAlignment="1" applyProtection="1">
      <alignment horizontal="center" vertical="center"/>
      <protection hidden="1"/>
    </xf>
    <xf numFmtId="3" fontId="0" fillId="0" borderId="45" xfId="4" applyNumberFormat="1" applyFont="1" applyBorder="1" applyAlignment="1" applyProtection="1">
      <alignment horizontal="center" vertical="center"/>
      <protection hidden="1"/>
    </xf>
    <xf numFmtId="3" fontId="0" fillId="0" borderId="62" xfId="4" applyNumberFormat="1" applyFont="1" applyBorder="1" applyAlignment="1" applyProtection="1">
      <alignment horizontal="center" vertical="center"/>
      <protection hidden="1"/>
    </xf>
    <xf numFmtId="3" fontId="0" fillId="0" borderId="37" xfId="4" applyNumberFormat="1" applyFont="1" applyBorder="1" applyAlignment="1" applyProtection="1">
      <alignment horizontal="center" vertical="center"/>
      <protection hidden="1"/>
    </xf>
    <xf numFmtId="3" fontId="0" fillId="0" borderId="63" xfId="4" applyNumberFormat="1" applyFont="1" applyBorder="1" applyAlignment="1" applyProtection="1">
      <alignment horizontal="center" vertical="center"/>
      <protection hidden="1"/>
    </xf>
    <xf numFmtId="3" fontId="0" fillId="0" borderId="65" xfId="4" applyNumberFormat="1" applyFont="1" applyBorder="1" applyAlignment="1" applyProtection="1">
      <alignment horizontal="center" vertical="center"/>
      <protection hidden="1"/>
    </xf>
    <xf numFmtId="3" fontId="0" fillId="0" borderId="8" xfId="4" applyNumberFormat="1" applyFont="1" applyBorder="1" applyAlignment="1" applyProtection="1">
      <alignment horizontal="center" vertical="center"/>
      <protection hidden="1"/>
    </xf>
    <xf numFmtId="3" fontId="0" fillId="0" borderId="66" xfId="4" applyNumberFormat="1" applyFont="1" applyBorder="1" applyAlignment="1" applyProtection="1">
      <alignment horizontal="center" vertical="center"/>
      <protection hidden="1"/>
    </xf>
    <xf numFmtId="0" fontId="8" fillId="2" borderId="16" xfId="0" applyFont="1" applyFill="1" applyBorder="1" applyAlignment="1" applyProtection="1">
      <alignment horizontal="center" vertical="center" wrapText="1"/>
      <protection hidden="1"/>
    </xf>
    <xf numFmtId="0" fontId="8" fillId="2" borderId="17" xfId="0" applyFont="1" applyFill="1" applyBorder="1" applyAlignment="1" applyProtection="1">
      <alignment horizontal="center" vertical="center" wrapText="1"/>
      <protection hidden="1"/>
    </xf>
    <xf numFmtId="0" fontId="8" fillId="2" borderId="58" xfId="0" applyFont="1" applyFill="1" applyBorder="1" applyAlignment="1" applyProtection="1">
      <alignment horizontal="center" vertical="center" wrapText="1"/>
      <protection hidden="1"/>
    </xf>
    <xf numFmtId="0" fontId="8" fillId="0" borderId="32" xfId="0" applyFont="1" applyFill="1" applyBorder="1" applyAlignment="1" applyProtection="1">
      <alignment horizontal="center" vertical="center" wrapText="1"/>
      <protection hidden="1"/>
    </xf>
    <xf numFmtId="0" fontId="8" fillId="0" borderId="64" xfId="0" applyFont="1" applyFill="1" applyBorder="1" applyAlignment="1" applyProtection="1">
      <alignment horizontal="center" vertical="center" wrapText="1"/>
      <protection hidden="1"/>
    </xf>
    <xf numFmtId="0" fontId="8" fillId="0" borderId="61" xfId="0" applyFont="1" applyFill="1" applyBorder="1" applyAlignment="1" applyProtection="1">
      <alignment horizontal="center" vertical="center" wrapText="1"/>
      <protection hidden="1"/>
    </xf>
    <xf numFmtId="0" fontId="8" fillId="20" borderId="32" xfId="0" applyFont="1" applyFill="1" applyBorder="1" applyAlignment="1" applyProtection="1">
      <alignment horizontal="center" vertical="center" wrapText="1"/>
      <protection hidden="1"/>
    </xf>
    <xf numFmtId="0" fontId="8" fillId="20" borderId="64" xfId="0" applyFont="1" applyFill="1" applyBorder="1" applyAlignment="1" applyProtection="1">
      <alignment horizontal="center" vertical="center" wrapText="1"/>
      <protection hidden="1"/>
    </xf>
    <xf numFmtId="0" fontId="8" fillId="20" borderId="61" xfId="0" applyFont="1" applyFill="1" applyBorder="1" applyAlignment="1" applyProtection="1">
      <alignment horizontal="center" vertical="center" wrapText="1"/>
      <protection hidden="1"/>
    </xf>
    <xf numFmtId="0" fontId="0" fillId="0" borderId="47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48" xfId="0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 applyProtection="1">
      <alignment horizontal="center" vertical="center"/>
      <protection locked="0"/>
    </xf>
    <xf numFmtId="0" fontId="0" fillId="0" borderId="62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63" xfId="0" applyFill="1" applyBorder="1" applyAlignment="1" applyProtection="1">
      <alignment horizontal="center" vertical="center"/>
      <protection locked="0"/>
    </xf>
    <xf numFmtId="1" fontId="0" fillId="0" borderId="47" xfId="0" applyNumberFormat="1" applyBorder="1" applyAlignment="1" applyProtection="1">
      <alignment horizontal="center" vertical="center"/>
      <protection locked="0"/>
    </xf>
    <xf numFmtId="1" fontId="0" fillId="0" borderId="46" xfId="0" applyNumberFormat="1" applyBorder="1" applyAlignment="1" applyProtection="1">
      <alignment horizontal="center" vertical="center"/>
      <protection locked="0"/>
    </xf>
    <xf numFmtId="1" fontId="0" fillId="0" borderId="48" xfId="0" applyNumberFormat="1" applyBorder="1" applyAlignment="1" applyProtection="1">
      <alignment horizontal="center" vertical="center"/>
      <protection locked="0"/>
    </xf>
    <xf numFmtId="1" fontId="0" fillId="0" borderId="39" xfId="0" applyNumberFormat="1" applyBorder="1" applyAlignment="1" applyProtection="1">
      <alignment horizontal="center" vertical="center"/>
      <protection locked="0"/>
    </xf>
    <xf numFmtId="1" fontId="0" fillId="0" borderId="0" xfId="0" applyNumberFormat="1" applyBorder="1" applyAlignment="1" applyProtection="1">
      <alignment horizontal="center" vertical="center"/>
      <protection locked="0"/>
    </xf>
    <xf numFmtId="1" fontId="0" fillId="0" borderId="45" xfId="0" applyNumberFormat="1" applyBorder="1" applyAlignment="1" applyProtection="1">
      <alignment horizontal="center" vertical="center"/>
      <protection locked="0"/>
    </xf>
    <xf numFmtId="1" fontId="0" fillId="0" borderId="65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" fontId="0" fillId="0" borderId="66" xfId="0" applyNumberFormat="1" applyBorder="1" applyAlignment="1" applyProtection="1">
      <alignment horizontal="center" vertical="center"/>
      <protection locked="0"/>
    </xf>
    <xf numFmtId="3" fontId="0" fillId="20" borderId="60" xfId="4" applyNumberFormat="1" applyFont="1" applyFill="1" applyBorder="1" applyAlignment="1" applyProtection="1">
      <alignment horizontal="center" vertical="center"/>
      <protection hidden="1"/>
    </xf>
    <xf numFmtId="3" fontId="0" fillId="20" borderId="17" xfId="4" applyNumberFormat="1" applyFont="1" applyFill="1" applyBorder="1" applyAlignment="1" applyProtection="1">
      <alignment horizontal="center" vertical="center"/>
      <protection hidden="1"/>
    </xf>
    <xf numFmtId="3" fontId="0" fillId="20" borderId="58" xfId="4" applyNumberFormat="1" applyFont="1" applyFill="1" applyBorder="1" applyAlignment="1" applyProtection="1">
      <alignment horizontal="center" vertical="center"/>
      <protection hidden="1"/>
    </xf>
    <xf numFmtId="0" fontId="0" fillId="24" borderId="10" xfId="0" applyFill="1" applyBorder="1" applyAlignment="1" applyProtection="1">
      <alignment horizontal="center" vertical="center"/>
      <protection hidden="1"/>
    </xf>
    <xf numFmtId="0" fontId="0" fillId="24" borderId="44" xfId="0" applyFill="1" applyBorder="1" applyAlignment="1" applyProtection="1">
      <alignment horizontal="center" vertical="center"/>
      <protection hidden="1"/>
    </xf>
    <xf numFmtId="0" fontId="0" fillId="24" borderId="50" xfId="0" applyFill="1" applyBorder="1" applyAlignment="1" applyProtection="1">
      <alignment horizontal="center" vertical="center"/>
      <protection hidden="1"/>
    </xf>
    <xf numFmtId="0" fontId="0" fillId="0" borderId="47" xfId="0" applyFill="1" applyBorder="1" applyAlignment="1" applyProtection="1">
      <alignment horizontal="center" vertical="center"/>
      <protection hidden="1"/>
    </xf>
    <xf numFmtId="0" fontId="0" fillId="0" borderId="46" xfId="0" applyFill="1" applyBorder="1" applyAlignment="1" applyProtection="1">
      <alignment horizontal="center" vertical="center"/>
      <protection hidden="1"/>
    </xf>
    <xf numFmtId="0" fontId="0" fillId="0" borderId="48" xfId="0" applyFill="1" applyBorder="1" applyAlignment="1" applyProtection="1">
      <alignment horizontal="center" vertical="center"/>
      <protection hidden="1"/>
    </xf>
    <xf numFmtId="0" fontId="0" fillId="0" borderId="39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45" xfId="0" applyFill="1" applyBorder="1" applyAlignment="1" applyProtection="1">
      <alignment horizontal="center" vertical="center"/>
      <protection hidden="1"/>
    </xf>
    <xf numFmtId="0" fontId="0" fillId="0" borderId="62" xfId="0" applyFill="1" applyBorder="1" applyAlignment="1" applyProtection="1">
      <alignment horizontal="center" vertical="center"/>
      <protection hidden="1"/>
    </xf>
    <xf numFmtId="0" fontId="0" fillId="0" borderId="37" xfId="0" applyFill="1" applyBorder="1" applyAlignment="1" applyProtection="1">
      <alignment horizontal="center" vertical="center"/>
      <protection hidden="1"/>
    </xf>
    <xf numFmtId="0" fontId="0" fillId="0" borderId="63" xfId="0" applyFill="1" applyBorder="1" applyAlignment="1" applyProtection="1">
      <alignment horizontal="center" vertical="center"/>
      <protection hidden="1"/>
    </xf>
    <xf numFmtId="1" fontId="0" fillId="0" borderId="47" xfId="0" applyNumberFormat="1" applyBorder="1" applyAlignment="1" applyProtection="1">
      <alignment horizontal="center" vertical="center"/>
      <protection hidden="1"/>
    </xf>
    <xf numFmtId="1" fontId="0" fillId="0" borderId="46" xfId="0" applyNumberFormat="1" applyBorder="1" applyAlignment="1" applyProtection="1">
      <alignment horizontal="center" vertical="center"/>
      <protection hidden="1"/>
    </xf>
    <xf numFmtId="1" fontId="0" fillId="0" borderId="48" xfId="0" applyNumberFormat="1" applyBorder="1" applyAlignment="1" applyProtection="1">
      <alignment horizontal="center" vertical="center"/>
      <protection hidden="1"/>
    </xf>
    <xf numFmtId="1" fontId="0" fillId="0" borderId="39" xfId="0" applyNumberFormat="1" applyBorder="1" applyAlignment="1" applyProtection="1">
      <alignment horizontal="center" vertical="center"/>
      <protection hidden="1"/>
    </xf>
    <xf numFmtId="1" fontId="0" fillId="0" borderId="0" xfId="0" applyNumberFormat="1" applyBorder="1" applyAlignment="1" applyProtection="1">
      <alignment horizontal="center" vertical="center"/>
      <protection hidden="1"/>
    </xf>
    <xf numFmtId="1" fontId="0" fillId="0" borderId="45" xfId="0" applyNumberFormat="1" applyBorder="1" applyAlignment="1" applyProtection="1">
      <alignment horizontal="center" vertical="center"/>
      <protection hidden="1"/>
    </xf>
    <xf numFmtId="1" fontId="0" fillId="0" borderId="65" xfId="0" applyNumberFormat="1" applyBorder="1" applyAlignment="1" applyProtection="1">
      <alignment horizontal="center" vertical="center"/>
      <protection hidden="1"/>
    </xf>
    <xf numFmtId="1" fontId="0" fillId="0" borderId="8" xfId="0" applyNumberFormat="1" applyBorder="1" applyAlignment="1" applyProtection="1">
      <alignment horizontal="center" vertical="center"/>
      <protection hidden="1"/>
    </xf>
    <xf numFmtId="1" fontId="0" fillId="0" borderId="66" xfId="0" applyNumberFormat="1" applyBorder="1" applyAlignment="1" applyProtection="1">
      <alignment horizontal="center" vertical="center"/>
      <protection hidden="1"/>
    </xf>
    <xf numFmtId="0" fontId="0" fillId="24" borderId="71" xfId="0" applyFill="1" applyBorder="1" applyAlignment="1" applyProtection="1">
      <alignment horizontal="center" vertical="center"/>
      <protection hidden="1"/>
    </xf>
    <xf numFmtId="0" fontId="8" fillId="2" borderId="32" xfId="0" applyFont="1" applyFill="1" applyBorder="1" applyAlignment="1" applyProtection="1">
      <alignment horizontal="center" vertical="center" wrapText="1"/>
      <protection hidden="1"/>
    </xf>
    <xf numFmtId="0" fontId="8" fillId="2" borderId="64" xfId="0" applyFont="1" applyFill="1" applyBorder="1" applyAlignment="1" applyProtection="1">
      <alignment horizontal="center" vertical="center" wrapText="1"/>
      <protection hidden="1"/>
    </xf>
    <xf numFmtId="0" fontId="8" fillId="2" borderId="61" xfId="0" applyFont="1" applyFill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40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15" fillId="10" borderId="0" xfId="0" applyFont="1" applyFill="1" applyBorder="1" applyAlignment="1" applyProtection="1">
      <alignment horizontal="center" vertical="center"/>
      <protection hidden="1"/>
    </xf>
    <xf numFmtId="0" fontId="8" fillId="20" borderId="10" xfId="0" applyFont="1" applyFill="1" applyBorder="1" applyAlignment="1" applyProtection="1">
      <alignment horizontal="center" vertical="center" wrapText="1"/>
      <protection hidden="1"/>
    </xf>
    <xf numFmtId="0" fontId="7" fillId="0" borderId="67" xfId="0" applyFont="1" applyBorder="1" applyAlignment="1" applyProtection="1">
      <alignment horizontal="center" vertical="center"/>
      <protection hidden="1"/>
    </xf>
    <xf numFmtId="0" fontId="7" fillId="0" borderId="64" xfId="0" applyFont="1" applyBorder="1" applyAlignment="1" applyProtection="1">
      <alignment horizontal="center" vertical="center"/>
      <protection hidden="1"/>
    </xf>
    <xf numFmtId="0" fontId="7" fillId="0" borderId="69" xfId="0" applyFont="1" applyBorder="1" applyAlignment="1" applyProtection="1">
      <alignment horizontal="center" vertical="center"/>
      <protection hidden="1"/>
    </xf>
    <xf numFmtId="0" fontId="15" fillId="8" borderId="0" xfId="0" applyFont="1" applyFill="1" applyBorder="1" applyAlignment="1" applyProtection="1">
      <alignment horizontal="center" vertical="center"/>
      <protection hidden="1"/>
    </xf>
    <xf numFmtId="0" fontId="55" fillId="8" borderId="16" xfId="0" applyFont="1" applyFill="1" applyBorder="1" applyAlignment="1">
      <alignment horizontal="center" vertical="center" wrapText="1"/>
    </xf>
    <xf numFmtId="0" fontId="55" fillId="8" borderId="27" xfId="0" applyFont="1" applyFill="1" applyBorder="1" applyAlignment="1">
      <alignment horizontal="center" vertical="center" wrapText="1"/>
    </xf>
    <xf numFmtId="0" fontId="38" fillId="0" borderId="1" xfId="0" applyFont="1" applyBorder="1" applyAlignment="1" applyProtection="1">
      <alignment horizontal="center" wrapText="1"/>
      <protection hidden="1"/>
    </xf>
    <xf numFmtId="0" fontId="46" fillId="2" borderId="0" xfId="0" applyFont="1" applyFill="1" applyBorder="1" applyAlignment="1" applyProtection="1">
      <alignment horizontal="center" vertical="center"/>
      <protection hidden="1"/>
    </xf>
    <xf numFmtId="0" fontId="7" fillId="8" borderId="16" xfId="0" applyFont="1" applyFill="1" applyBorder="1" applyAlignment="1" applyProtection="1">
      <alignment horizontal="right" vertical="center" wrapText="1"/>
      <protection hidden="1"/>
    </xf>
    <xf numFmtId="0" fontId="7" fillId="8" borderId="27" xfId="0" applyFont="1" applyFill="1" applyBorder="1" applyAlignment="1" applyProtection="1">
      <alignment horizontal="right" vertical="center" wrapText="1"/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7" fillId="0" borderId="8" xfId="0" applyFont="1" applyBorder="1" applyAlignment="1" applyProtection="1">
      <alignment horizontal="left" wrapText="1"/>
      <protection hidden="1"/>
    </xf>
    <xf numFmtId="0" fontId="15" fillId="3" borderId="0" xfId="0" applyFont="1" applyFill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0" fontId="22" fillId="0" borderId="27" xfId="0" applyFont="1" applyBorder="1" applyAlignment="1" applyProtection="1">
      <alignment horizontal="center" vertical="center" wrapText="1"/>
      <protection hidden="1"/>
    </xf>
    <xf numFmtId="0" fontId="7" fillId="9" borderId="16" xfId="0" applyFont="1" applyFill="1" applyBorder="1" applyAlignment="1" applyProtection="1">
      <alignment horizontal="center" vertical="center" wrapText="1"/>
      <protection hidden="1"/>
    </xf>
    <xf numFmtId="0" fontId="7" fillId="9" borderId="27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9" xfId="0" applyFont="1" applyFill="1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horizontal="left" vertical="center"/>
      <protection hidden="1"/>
    </xf>
    <xf numFmtId="0" fontId="0" fillId="2" borderId="17" xfId="0" applyFill="1" applyBorder="1" applyAlignment="1" applyProtection="1">
      <alignment horizontal="left" vertical="center"/>
      <protection hidden="1"/>
    </xf>
    <xf numFmtId="0" fontId="0" fillId="2" borderId="27" xfId="0" applyFill="1" applyBorder="1" applyAlignment="1" applyProtection="1">
      <alignment horizontal="left" vertical="center"/>
      <protection hidden="1"/>
    </xf>
    <xf numFmtId="0" fontId="7" fillId="2" borderId="16" xfId="0" applyFont="1" applyFill="1" applyBorder="1" applyAlignment="1" applyProtection="1">
      <alignment horizontal="center" vertical="center" wrapText="1"/>
      <protection hidden="1"/>
    </xf>
    <xf numFmtId="0" fontId="7" fillId="2" borderId="2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15" fillId="9" borderId="0" xfId="0" applyFont="1" applyFill="1" applyBorder="1" applyAlignment="1" applyProtection="1">
      <alignment horizontal="center" vertical="center" wrapText="1"/>
      <protection hidden="1"/>
    </xf>
    <xf numFmtId="0" fontId="7" fillId="2" borderId="16" xfId="0" applyFont="1" applyFill="1" applyBorder="1" applyAlignment="1" applyProtection="1">
      <alignment horizontal="left" vertical="center" wrapText="1"/>
      <protection hidden="1"/>
    </xf>
    <xf numFmtId="0" fontId="51" fillId="2" borderId="27" xfId="0" applyFont="1" applyFill="1" applyBorder="1" applyAlignment="1" applyProtection="1">
      <alignment horizontal="left" vertical="center" wrapText="1"/>
      <protection hidden="1"/>
    </xf>
    <xf numFmtId="0" fontId="7" fillId="9" borderId="4" xfId="0" applyFont="1" applyFill="1" applyBorder="1" applyAlignment="1" applyProtection="1">
      <alignment horizontal="center" vertical="center" wrapText="1"/>
      <protection hidden="1"/>
    </xf>
    <xf numFmtId="0" fontId="7" fillId="9" borderId="21" xfId="0" applyFont="1" applyFill="1" applyBorder="1" applyAlignment="1" applyProtection="1">
      <alignment horizontal="center" vertical="center" wrapText="1"/>
      <protection hidden="1"/>
    </xf>
    <xf numFmtId="0" fontId="7" fillId="2" borderId="27" xfId="0" applyFont="1" applyFill="1" applyBorder="1" applyAlignment="1" applyProtection="1">
      <alignment horizontal="left" vertical="center" wrapText="1"/>
      <protection hidden="1"/>
    </xf>
    <xf numFmtId="0" fontId="55" fillId="0" borderId="5" xfId="0" applyFont="1" applyFill="1" applyBorder="1" applyAlignment="1">
      <alignment horizontal="center" vertical="center" wrapText="1"/>
    </xf>
    <xf numFmtId="0" fontId="55" fillId="0" borderId="21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 applyProtection="1">
      <alignment horizontal="left" vertical="center" wrapText="1"/>
      <protection hidden="1"/>
    </xf>
    <xf numFmtId="0" fontId="7" fillId="2" borderId="57" xfId="0" applyFont="1" applyFill="1" applyBorder="1" applyAlignment="1" applyProtection="1">
      <alignment horizontal="left" vertical="center" wrapText="1"/>
      <protection hidden="1"/>
    </xf>
    <xf numFmtId="0" fontId="7" fillId="2" borderId="43" xfId="0" applyFont="1" applyFill="1" applyBorder="1" applyAlignment="1" applyProtection="1">
      <alignment horizontal="left" vertical="center" wrapText="1"/>
      <protection hidden="1"/>
    </xf>
    <xf numFmtId="0" fontId="7" fillId="2" borderId="28" xfId="0" applyFont="1" applyFill="1" applyBorder="1" applyAlignment="1" applyProtection="1">
      <alignment horizontal="left" vertical="center" wrapText="1"/>
      <protection hidden="1"/>
    </xf>
    <xf numFmtId="0" fontId="7" fillId="2" borderId="67" xfId="0" applyFont="1" applyFill="1" applyBorder="1" applyAlignment="1" applyProtection="1">
      <alignment horizontal="left" vertical="center" wrapText="1"/>
      <protection hidden="1"/>
    </xf>
    <xf numFmtId="0" fontId="7" fillId="2" borderId="69" xfId="0" applyFont="1" applyFill="1" applyBorder="1" applyAlignment="1" applyProtection="1">
      <alignment horizontal="left" vertical="center" wrapText="1"/>
      <protection hidden="1"/>
    </xf>
    <xf numFmtId="0" fontId="7" fillId="0" borderId="17" xfId="0" applyFont="1" applyFill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 wrapText="1"/>
      <protection hidden="1"/>
    </xf>
    <xf numFmtId="0" fontId="22" fillId="0" borderId="21" xfId="0" applyFont="1" applyBorder="1" applyAlignment="1" applyProtection="1">
      <alignment horizontal="center" vertical="center" wrapText="1"/>
      <protection hidden="1"/>
    </xf>
    <xf numFmtId="0" fontId="64" fillId="2" borderId="18" xfId="0" applyFont="1" applyFill="1" applyBorder="1" applyAlignment="1" applyProtection="1">
      <alignment horizontal="left" vertical="center" wrapText="1"/>
      <protection hidden="1"/>
    </xf>
    <xf numFmtId="0" fontId="64" fillId="2" borderId="20" xfId="0" applyFont="1" applyFill="1" applyBorder="1" applyAlignment="1" applyProtection="1">
      <alignment horizontal="left" vertical="center" wrapText="1"/>
      <protection hidden="1"/>
    </xf>
    <xf numFmtId="4" fontId="57" fillId="23" borderId="18" xfId="0" applyNumberFormat="1" applyFont="1" applyFill="1" applyBorder="1" applyAlignment="1" applyProtection="1">
      <alignment horizontal="center" vertical="center" wrapText="1"/>
      <protection locked="0"/>
    </xf>
    <xf numFmtId="4" fontId="57" fillId="23" borderId="19" xfId="0" applyNumberFormat="1" applyFont="1" applyFill="1" applyBorder="1" applyAlignment="1" applyProtection="1">
      <alignment horizontal="center" vertical="center" wrapText="1"/>
      <protection locked="0"/>
    </xf>
    <xf numFmtId="4" fontId="57" fillId="23" borderId="20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0" xfId="0" applyFont="1" applyFill="1" applyAlignment="1" applyProtection="1">
      <alignment horizontal="center" vertical="center"/>
      <protection hidden="1"/>
    </xf>
    <xf numFmtId="0" fontId="60" fillId="2" borderId="18" xfId="0" applyFont="1" applyFill="1" applyBorder="1" applyAlignment="1" applyProtection="1">
      <alignment horizontal="center" vertical="center" wrapText="1"/>
      <protection hidden="1"/>
    </xf>
    <xf numFmtId="0" fontId="60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8" xfId="0" applyFont="1" applyFill="1" applyBorder="1" applyAlignment="1" applyProtection="1">
      <alignment horizontal="left" vertical="center" wrapText="1"/>
      <protection hidden="1"/>
    </xf>
    <xf numFmtId="0" fontId="16" fillId="2" borderId="20" xfId="0" applyFont="1" applyFill="1" applyBorder="1" applyAlignment="1" applyProtection="1">
      <alignment horizontal="left" vertical="center" wrapText="1"/>
      <protection hidden="1"/>
    </xf>
    <xf numFmtId="0" fontId="63" fillId="18" borderId="0" xfId="0" applyFont="1" applyFill="1" applyAlignment="1" applyProtection="1">
      <alignment horizontal="center" vertical="center"/>
      <protection hidden="1"/>
    </xf>
    <xf numFmtId="0" fontId="60" fillId="2" borderId="19" xfId="0" applyFont="1" applyFill="1" applyBorder="1" applyAlignment="1" applyProtection="1">
      <alignment horizontal="center" vertical="center" wrapText="1"/>
      <protection hidden="1"/>
    </xf>
    <xf numFmtId="4" fontId="60" fillId="23" borderId="18" xfId="0" applyNumberFormat="1" applyFont="1" applyFill="1" applyBorder="1" applyAlignment="1" applyProtection="1">
      <alignment horizontal="center" vertical="center" wrapText="1"/>
      <protection locked="0"/>
    </xf>
    <xf numFmtId="4" fontId="60" fillId="23" borderId="19" xfId="0" applyNumberFormat="1" applyFont="1" applyFill="1" applyBorder="1" applyAlignment="1" applyProtection="1">
      <alignment horizontal="center" vertical="center" wrapText="1"/>
      <protection locked="0"/>
    </xf>
    <xf numFmtId="4" fontId="60" fillId="23" borderId="20" xfId="0" applyNumberFormat="1" applyFont="1" applyFill="1" applyBorder="1" applyAlignment="1" applyProtection="1">
      <alignment horizontal="center" vertical="center" wrapText="1"/>
      <protection locked="0"/>
    </xf>
    <xf numFmtId="0" fontId="57" fillId="16" borderId="0" xfId="0" applyFont="1" applyFill="1" applyAlignment="1" applyProtection="1">
      <alignment horizontal="center" vertical="top"/>
      <protection locked="0"/>
    </xf>
    <xf numFmtId="0" fontId="57" fillId="20" borderId="18" xfId="0" applyFont="1" applyFill="1" applyBorder="1" applyAlignment="1" applyProtection="1">
      <alignment horizontal="center" wrapText="1"/>
      <protection hidden="1"/>
    </xf>
    <xf numFmtId="0" fontId="57" fillId="20" borderId="20" xfId="0" applyFont="1" applyFill="1" applyBorder="1" applyAlignment="1" applyProtection="1">
      <alignment horizontal="center" wrapText="1"/>
      <protection hidden="1"/>
    </xf>
    <xf numFmtId="0" fontId="62" fillId="20" borderId="18" xfId="0" applyFont="1" applyFill="1" applyBorder="1" applyAlignment="1" applyProtection="1">
      <alignment horizontal="center" vertical="center"/>
      <protection hidden="1"/>
    </xf>
    <xf numFmtId="0" fontId="62" fillId="20" borderId="20" xfId="0" applyFont="1" applyFill="1" applyBorder="1" applyAlignment="1" applyProtection="1">
      <alignment horizontal="center" vertical="center"/>
      <protection hidden="1"/>
    </xf>
    <xf numFmtId="0" fontId="57" fillId="20" borderId="18" xfId="0" applyFont="1" applyFill="1" applyBorder="1" applyAlignment="1" applyProtection="1">
      <alignment horizontal="center"/>
      <protection hidden="1"/>
    </xf>
    <xf numFmtId="0" fontId="57" fillId="20" borderId="19" xfId="0" applyFont="1" applyFill="1" applyBorder="1" applyAlignment="1" applyProtection="1">
      <alignment horizontal="center"/>
      <protection hidden="1"/>
    </xf>
    <xf numFmtId="0" fontId="57" fillId="20" borderId="20" xfId="0" applyFont="1" applyFill="1" applyBorder="1" applyAlignment="1" applyProtection="1">
      <alignment horizontal="center"/>
      <protection hidden="1"/>
    </xf>
    <xf numFmtId="0" fontId="28" fillId="0" borderId="0" xfId="0" applyFont="1" applyBorder="1" applyAlignment="1" applyProtection="1">
      <alignment horizontal="left" vertical="center" wrapText="1"/>
      <protection hidden="1"/>
    </xf>
    <xf numFmtId="0" fontId="18" fillId="14" borderId="16" xfId="0" applyFont="1" applyFill="1" applyBorder="1" applyAlignment="1" applyProtection="1">
      <alignment horizontal="center" vertical="center"/>
      <protection hidden="1"/>
    </xf>
    <xf numFmtId="0" fontId="18" fillId="14" borderId="17" xfId="0" applyFont="1" applyFill="1" applyBorder="1" applyAlignment="1" applyProtection="1">
      <alignment horizontal="center" vertical="center"/>
      <protection hidden="1"/>
    </xf>
    <xf numFmtId="0" fontId="18" fillId="14" borderId="27" xfId="0" applyFont="1" applyFill="1" applyBorder="1" applyAlignment="1" applyProtection="1">
      <alignment horizontal="center" vertical="center"/>
      <protection hidden="1"/>
    </xf>
    <xf numFmtId="0" fontId="18" fillId="0" borderId="7" xfId="0" applyFont="1" applyFill="1" applyBorder="1" applyAlignment="1" applyProtection="1">
      <alignment horizontal="center" vertical="center"/>
      <protection hidden="1"/>
    </xf>
    <xf numFmtId="0" fontId="18" fillId="0" borderId="11" xfId="0" applyFont="1" applyFill="1" applyBorder="1" applyAlignment="1" applyProtection="1">
      <alignment horizontal="center" vertical="center"/>
      <protection hidden="1"/>
    </xf>
    <xf numFmtId="0" fontId="18" fillId="0" borderId="23" xfId="0" applyFont="1" applyFill="1" applyBorder="1" applyAlignment="1" applyProtection="1">
      <alignment horizontal="center" vertical="center" wrapText="1"/>
      <protection hidden="1"/>
    </xf>
    <xf numFmtId="0" fontId="18" fillId="0" borderId="3" xfId="0" applyFont="1" applyFill="1" applyBorder="1" applyAlignment="1" applyProtection="1">
      <alignment horizontal="center" vertical="center" wrapText="1"/>
      <protection hidden="1"/>
    </xf>
    <xf numFmtId="0" fontId="18" fillId="0" borderId="23" xfId="0" applyFont="1" applyFill="1" applyBorder="1" applyAlignment="1" applyProtection="1">
      <alignment horizontal="center" vertical="center"/>
      <protection hidden="1"/>
    </xf>
    <xf numFmtId="0" fontId="18" fillId="0" borderId="3" xfId="0" applyFont="1" applyFill="1" applyBorder="1" applyAlignment="1" applyProtection="1">
      <alignment horizontal="center" vertical="center"/>
      <protection hidden="1"/>
    </xf>
    <xf numFmtId="0" fontId="18" fillId="0" borderId="24" xfId="0" applyFont="1" applyFill="1" applyBorder="1" applyAlignment="1" applyProtection="1">
      <alignment horizontal="center" vertical="center"/>
      <protection hidden="1"/>
    </xf>
    <xf numFmtId="0" fontId="18" fillId="0" borderId="14" xfId="0" applyFont="1" applyFill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0" fontId="11" fillId="0" borderId="22" xfId="0" applyFont="1" applyBorder="1" applyAlignment="1" applyProtection="1">
      <alignment horizontal="center" vertical="center" wrapText="1"/>
      <protection hidden="1"/>
    </xf>
    <xf numFmtId="0" fontId="21" fillId="0" borderId="35" xfId="0" applyFont="1" applyFill="1" applyBorder="1" applyAlignment="1" applyProtection="1">
      <alignment horizontal="center" vertical="center" wrapText="1"/>
      <protection hidden="1"/>
    </xf>
    <xf numFmtId="0" fontId="21" fillId="0" borderId="22" xfId="0" applyFont="1" applyFill="1" applyBorder="1" applyAlignment="1" applyProtection="1">
      <alignment horizontal="center" vertical="center" wrapText="1"/>
      <protection hidden="1"/>
    </xf>
    <xf numFmtId="0" fontId="21" fillId="0" borderId="6" xfId="0" applyFont="1" applyFill="1" applyBorder="1" applyAlignment="1" applyProtection="1">
      <alignment horizontal="center" vertical="center" wrapText="1"/>
      <protection hidden="1"/>
    </xf>
    <xf numFmtId="0" fontId="55" fillId="0" borderId="5" xfId="0" applyFont="1" applyBorder="1" applyAlignment="1" applyProtection="1">
      <alignment horizontal="center"/>
      <protection hidden="1"/>
    </xf>
    <xf numFmtId="0" fontId="55" fillId="0" borderId="21" xfId="0" applyFont="1" applyBorder="1" applyAlignment="1" applyProtection="1">
      <alignment horizontal="center"/>
      <protection hidden="1"/>
    </xf>
    <xf numFmtId="0" fontId="55" fillId="0" borderId="4" xfId="0" applyFont="1" applyBorder="1" applyAlignment="1" applyProtection="1">
      <alignment horizontal="center" vertical="center" wrapText="1"/>
      <protection hidden="1"/>
    </xf>
    <xf numFmtId="0" fontId="55" fillId="0" borderId="5" xfId="0" applyFont="1" applyBorder="1" applyAlignment="1" applyProtection="1">
      <alignment horizontal="center" vertical="center" wrapText="1"/>
      <protection hidden="1"/>
    </xf>
    <xf numFmtId="0" fontId="55" fillId="0" borderId="21" xfId="0" applyFont="1" applyBorder="1" applyAlignment="1" applyProtection="1">
      <alignment horizontal="center" vertical="center" wrapText="1"/>
      <protection hidden="1"/>
    </xf>
    <xf numFmtId="0" fontId="7" fillId="21" borderId="4" xfId="0" applyFont="1" applyFill="1" applyBorder="1" applyAlignment="1" applyProtection="1">
      <alignment horizontal="center"/>
      <protection hidden="1"/>
    </xf>
    <xf numFmtId="0" fontId="7" fillId="21" borderId="5" xfId="0" applyFont="1" applyFill="1" applyBorder="1" applyAlignment="1" applyProtection="1">
      <alignment horizontal="center"/>
      <protection hidden="1"/>
    </xf>
    <xf numFmtId="0" fontId="55" fillId="0" borderId="1" xfId="0" applyFont="1" applyBorder="1" applyAlignment="1" applyProtection="1">
      <alignment horizontal="center"/>
      <protection hidden="1"/>
    </xf>
    <xf numFmtId="0" fontId="55" fillId="0" borderId="0" xfId="0" applyFont="1" applyBorder="1" applyAlignment="1" applyProtection="1">
      <alignment horizontal="center"/>
      <protection hidden="1"/>
    </xf>
    <xf numFmtId="0" fontId="55" fillId="0" borderId="15" xfId="0" applyFont="1" applyBorder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center" vertical="center" wrapText="1"/>
      <protection hidden="1"/>
    </xf>
    <xf numFmtId="167" fontId="7" fillId="0" borderId="3" xfId="9" applyNumberFormat="1" applyFont="1" applyFill="1" applyBorder="1" applyAlignment="1" applyProtection="1">
      <alignment horizontal="center" vertical="center" wrapText="1"/>
      <protection hidden="1"/>
    </xf>
    <xf numFmtId="0" fontId="80" fillId="0" borderId="29" xfId="9" applyFont="1" applyFill="1" applyBorder="1" applyAlignment="1" applyProtection="1">
      <alignment horizontal="left" vertical="center" wrapText="1"/>
      <protection hidden="1"/>
    </xf>
    <xf numFmtId="0" fontId="80" fillId="0" borderId="76" xfId="9" applyFont="1" applyFill="1" applyBorder="1" applyAlignment="1" applyProtection="1">
      <alignment horizontal="left" vertical="center" wrapText="1"/>
      <protection hidden="1"/>
    </xf>
    <xf numFmtId="0" fontId="77" fillId="13" borderId="16" xfId="9" applyFont="1" applyFill="1" applyBorder="1" applyAlignment="1" applyProtection="1">
      <alignment horizontal="left" vertical="center" wrapText="1"/>
      <protection hidden="1"/>
    </xf>
    <xf numFmtId="0" fontId="77" fillId="13" borderId="17" xfId="9" applyFont="1" applyFill="1" applyBorder="1" applyAlignment="1" applyProtection="1">
      <alignment horizontal="left" vertical="center" wrapText="1"/>
      <protection hidden="1"/>
    </xf>
    <xf numFmtId="0" fontId="77" fillId="13" borderId="27" xfId="9" applyFont="1" applyFill="1" applyBorder="1" applyAlignment="1" applyProtection="1">
      <alignment horizontal="left" vertical="center" wrapText="1"/>
      <protection hidden="1"/>
    </xf>
    <xf numFmtId="0" fontId="80" fillId="0" borderId="18" xfId="9" applyFont="1" applyFill="1" applyBorder="1" applyAlignment="1" applyProtection="1">
      <alignment horizontal="left" vertical="center" wrapText="1"/>
      <protection hidden="1"/>
    </xf>
    <xf numFmtId="0" fontId="80" fillId="0" borderId="19" xfId="9" applyFont="1" applyFill="1" applyBorder="1" applyAlignment="1" applyProtection="1">
      <alignment horizontal="left" vertical="center" wrapText="1"/>
      <protection hidden="1"/>
    </xf>
    <xf numFmtId="0" fontId="80" fillId="0" borderId="28" xfId="9" applyFont="1" applyFill="1" applyBorder="1" applyAlignment="1" applyProtection="1">
      <alignment horizontal="left" vertical="center" wrapText="1"/>
      <protection hidden="1"/>
    </xf>
    <xf numFmtId="0" fontId="78" fillId="27" borderId="51" xfId="9" applyFont="1" applyFill="1" applyBorder="1" applyAlignment="1" applyProtection="1">
      <alignment horizontal="center" vertical="center"/>
      <protection hidden="1"/>
    </xf>
    <xf numFmtId="0" fontId="78" fillId="27" borderId="23" xfId="9" applyFont="1" applyFill="1" applyBorder="1" applyAlignment="1" applyProtection="1">
      <alignment horizontal="center" vertical="center"/>
      <protection hidden="1"/>
    </xf>
    <xf numFmtId="0" fontId="80" fillId="0" borderId="32" xfId="9" applyFont="1" applyFill="1" applyBorder="1" applyAlignment="1" applyProtection="1">
      <alignment horizontal="left" vertical="center" wrapText="1"/>
      <protection hidden="1"/>
    </xf>
    <xf numFmtId="0" fontId="79" fillId="0" borderId="64" xfId="9" applyFont="1" applyFill="1" applyBorder="1" applyAlignment="1" applyProtection="1">
      <alignment horizontal="left" vertical="center" wrapText="1"/>
      <protection hidden="1"/>
    </xf>
    <xf numFmtId="0" fontId="79" fillId="0" borderId="69" xfId="9" applyFont="1" applyFill="1" applyBorder="1" applyAlignment="1" applyProtection="1">
      <alignment horizontal="left" vertical="center" wrapText="1"/>
      <protection hidden="1"/>
    </xf>
    <xf numFmtId="0" fontId="80" fillId="0" borderId="62" xfId="9" applyFont="1" applyFill="1" applyBorder="1" applyAlignment="1" applyProtection="1">
      <alignment horizontal="left" vertical="center" wrapText="1"/>
      <protection hidden="1"/>
    </xf>
    <xf numFmtId="0" fontId="79" fillId="0" borderId="37" xfId="9" applyFont="1" applyFill="1" applyBorder="1" applyAlignment="1" applyProtection="1">
      <alignment horizontal="left" vertical="center" wrapText="1"/>
      <protection hidden="1"/>
    </xf>
    <xf numFmtId="0" fontId="78" fillId="27" borderId="54" xfId="9" applyFont="1" applyFill="1" applyBorder="1" applyAlignment="1" applyProtection="1">
      <alignment horizontal="center" vertical="center"/>
      <protection hidden="1"/>
    </xf>
    <xf numFmtId="0" fontId="80" fillId="0" borderId="68" xfId="9" applyFont="1" applyFill="1" applyBorder="1" applyAlignment="1" applyProtection="1">
      <alignment horizontal="left" vertical="center" wrapText="1"/>
      <protection hidden="1"/>
    </xf>
    <xf numFmtId="0" fontId="79" fillId="0" borderId="5" xfId="9" applyFont="1" applyFill="1" applyBorder="1" applyAlignment="1" applyProtection="1">
      <alignment horizontal="left" vertical="center" wrapText="1"/>
      <protection hidden="1"/>
    </xf>
    <xf numFmtId="0" fontId="79" fillId="0" borderId="19" xfId="9" applyFont="1" applyFill="1" applyBorder="1" applyAlignment="1" applyProtection="1">
      <alignment horizontal="left" vertical="center" wrapText="1"/>
      <protection hidden="1"/>
    </xf>
    <xf numFmtId="0" fontId="77" fillId="0" borderId="32" xfId="9" applyFont="1" applyFill="1" applyBorder="1" applyAlignment="1" applyProtection="1">
      <alignment horizontal="left" vertical="center" wrapText="1"/>
      <protection hidden="1"/>
    </xf>
    <xf numFmtId="0" fontId="77" fillId="0" borderId="64" xfId="9" applyFont="1" applyFill="1" applyBorder="1" applyAlignment="1" applyProtection="1">
      <alignment horizontal="left" vertical="center" wrapText="1"/>
      <protection hidden="1"/>
    </xf>
    <xf numFmtId="0" fontId="77" fillId="0" borderId="18" xfId="9" applyFont="1" applyFill="1" applyBorder="1" applyAlignment="1" applyProtection="1">
      <alignment horizontal="left" vertical="center" wrapText="1"/>
      <protection hidden="1"/>
    </xf>
    <xf numFmtId="0" fontId="77" fillId="0" borderId="19" xfId="9" applyFont="1" applyFill="1" applyBorder="1" applyAlignment="1" applyProtection="1">
      <alignment horizontal="left" vertical="center" wrapText="1"/>
      <protection hidden="1"/>
    </xf>
    <xf numFmtId="0" fontId="81" fillId="0" borderId="29" xfId="9" applyFont="1" applyFill="1" applyBorder="1" applyAlignment="1" applyProtection="1">
      <alignment horizontal="left" vertical="center" wrapText="1"/>
      <protection hidden="1"/>
    </xf>
    <xf numFmtId="0" fontId="77" fillId="0" borderId="76" xfId="9" applyFont="1" applyFill="1" applyBorder="1" applyAlignment="1" applyProtection="1">
      <alignment horizontal="left" vertical="center" wrapText="1"/>
      <protection hidden="1"/>
    </xf>
    <xf numFmtId="0" fontId="78" fillId="27" borderId="59" xfId="9" applyFont="1" applyFill="1" applyBorder="1" applyAlignment="1" applyProtection="1">
      <alignment horizontal="center" vertical="center"/>
      <protection hidden="1"/>
    </xf>
    <xf numFmtId="0" fontId="78" fillId="27" borderId="24" xfId="9" applyFont="1" applyFill="1" applyBorder="1" applyAlignment="1" applyProtection="1">
      <alignment horizontal="center" vertical="center"/>
      <protection hidden="1"/>
    </xf>
    <xf numFmtId="0" fontId="80" fillId="0" borderId="5" xfId="9" applyFont="1" applyFill="1" applyBorder="1" applyAlignment="1" applyProtection="1">
      <alignment horizontal="left" vertical="center" wrapText="1"/>
      <protection hidden="1"/>
    </xf>
    <xf numFmtId="168" fontId="7" fillId="23" borderId="75" xfId="0" applyNumberFormat="1" applyFont="1" applyFill="1" applyBorder="1" applyAlignment="1" applyProtection="1">
      <alignment horizontal="center" vertical="center"/>
      <protection locked="0"/>
    </xf>
    <xf numFmtId="168" fontId="7" fillId="23" borderId="76" xfId="0" applyNumberFormat="1" applyFont="1" applyFill="1" applyBorder="1" applyAlignment="1" applyProtection="1">
      <alignment horizontal="center" vertical="center"/>
      <protection locked="0"/>
    </xf>
    <xf numFmtId="168" fontId="7" fillId="23" borderId="77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/>
      <protection hidden="1"/>
    </xf>
    <xf numFmtId="0" fontId="7" fillId="0" borderId="17" xfId="0" applyFont="1" applyFill="1" applyBorder="1" applyAlignment="1" applyProtection="1">
      <alignment horizontal="center"/>
      <protection hidden="1"/>
    </xf>
    <xf numFmtId="0" fontId="7" fillId="0" borderId="27" xfId="0" applyFont="1" applyFill="1" applyBorder="1" applyAlignment="1" applyProtection="1">
      <alignment horizontal="center"/>
      <protection hidden="1"/>
    </xf>
    <xf numFmtId="0" fontId="7" fillId="0" borderId="16" xfId="0" applyFont="1" applyBorder="1" applyAlignment="1" applyProtection="1">
      <alignment horizontal="center"/>
      <protection hidden="1"/>
    </xf>
    <xf numFmtId="0" fontId="7" fillId="0" borderId="27" xfId="0" applyFont="1" applyBorder="1" applyAlignment="1" applyProtection="1">
      <alignment horizontal="center"/>
      <protection hidden="1"/>
    </xf>
    <xf numFmtId="0" fontId="0" fillId="17" borderId="16" xfId="0" applyFill="1" applyBorder="1" applyAlignment="1" applyProtection="1">
      <alignment horizontal="center" vertical="center" wrapText="1"/>
      <protection hidden="1"/>
    </xf>
    <xf numFmtId="0" fontId="0" fillId="17" borderId="27" xfId="0" applyFill="1" applyBorder="1" applyAlignment="1" applyProtection="1">
      <alignment horizontal="center" vertical="center" wrapText="1"/>
      <protection hidden="1"/>
    </xf>
    <xf numFmtId="0" fontId="55" fillId="8" borderId="16" xfId="0" applyFont="1" applyFill="1" applyBorder="1" applyAlignment="1" applyProtection="1">
      <alignment horizontal="center" vertical="center" wrapText="1"/>
      <protection hidden="1"/>
    </xf>
    <xf numFmtId="0" fontId="55" fillId="8" borderId="27" xfId="0" applyFont="1" applyFill="1" applyBorder="1" applyAlignment="1" applyProtection="1">
      <alignment horizontal="center" vertical="center" wrapText="1"/>
      <protection hidden="1"/>
    </xf>
    <xf numFmtId="0" fontId="66" fillId="0" borderId="32" xfId="0" applyFont="1" applyBorder="1" applyAlignment="1" applyProtection="1">
      <alignment horizontal="center" vertical="center" wrapText="1"/>
      <protection hidden="1"/>
    </xf>
    <xf numFmtId="0" fontId="66" fillId="0" borderId="69" xfId="0" applyFont="1" applyBorder="1" applyAlignment="1" applyProtection="1">
      <alignment horizontal="center" vertical="center" wrapText="1"/>
      <protection hidden="1"/>
    </xf>
    <xf numFmtId="1" fontId="36" fillId="20" borderId="29" xfId="0" applyNumberFormat="1" applyFont="1" applyFill="1" applyBorder="1" applyAlignment="1" applyProtection="1">
      <alignment horizontal="center"/>
      <protection hidden="1"/>
    </xf>
    <xf numFmtId="1" fontId="36" fillId="20" borderId="77" xfId="0" applyNumberFormat="1" applyFont="1" applyFill="1" applyBorder="1" applyAlignment="1" applyProtection="1">
      <alignment horizontal="center"/>
      <protection hidden="1"/>
    </xf>
    <xf numFmtId="0" fontId="47" fillId="26" borderId="16" xfId="0" applyFont="1" applyFill="1" applyBorder="1" applyAlignment="1" applyProtection="1">
      <alignment horizontal="center" vertical="center"/>
      <protection hidden="1"/>
    </xf>
    <xf numFmtId="0" fontId="47" fillId="26" borderId="27" xfId="0" applyFont="1" applyFill="1" applyBorder="1" applyAlignment="1" applyProtection="1">
      <alignment horizontal="center" vertical="center"/>
      <protection hidden="1"/>
    </xf>
    <xf numFmtId="0" fontId="78" fillId="27" borderId="7" xfId="9" applyFont="1" applyFill="1" applyBorder="1" applyAlignment="1" applyProtection="1">
      <alignment horizontal="center" vertical="center" wrapText="1"/>
      <protection hidden="1"/>
    </xf>
    <xf numFmtId="0" fontId="78" fillId="27" borderId="23" xfId="9" applyFont="1" applyFill="1" applyBorder="1" applyAlignment="1" applyProtection="1">
      <alignment horizontal="center" vertical="center" wrapText="1"/>
      <protection hidden="1"/>
    </xf>
    <xf numFmtId="0" fontId="78" fillId="27" borderId="24" xfId="9" applyFont="1" applyFill="1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 wrapText="1"/>
      <protection hidden="1"/>
    </xf>
    <xf numFmtId="0" fontId="0" fillId="0" borderId="64" xfId="0" applyBorder="1" applyAlignment="1" applyProtection="1">
      <alignment horizontal="center" vertical="center" wrapText="1"/>
      <protection hidden="1"/>
    </xf>
    <xf numFmtId="0" fontId="0" fillId="0" borderId="69" xfId="0" applyBorder="1" applyAlignment="1" applyProtection="1">
      <alignment horizontal="center" vertical="center" wrapText="1"/>
      <protection hidden="1"/>
    </xf>
    <xf numFmtId="0" fontId="0" fillId="25" borderId="16" xfId="0" applyFill="1" applyBorder="1" applyAlignment="1" applyProtection="1">
      <alignment horizontal="center"/>
      <protection hidden="1"/>
    </xf>
    <xf numFmtId="0" fontId="0" fillId="25" borderId="17" xfId="0" applyFill="1" applyBorder="1" applyAlignment="1" applyProtection="1">
      <alignment horizontal="center"/>
      <protection hidden="1"/>
    </xf>
    <xf numFmtId="0" fontId="0" fillId="25" borderId="27" xfId="0" applyFill="1" applyBorder="1" applyAlignment="1" applyProtection="1">
      <alignment horizontal="center"/>
      <protection hidden="1"/>
    </xf>
    <xf numFmtId="0" fontId="7" fillId="2" borderId="16" xfId="0" applyFont="1" applyFill="1" applyBorder="1" applyAlignment="1" applyProtection="1">
      <alignment horizontal="center" vertical="center"/>
      <protection hidden="1"/>
    </xf>
    <xf numFmtId="0" fontId="7" fillId="2" borderId="17" xfId="0" applyFont="1" applyFill="1" applyBorder="1" applyAlignment="1" applyProtection="1">
      <alignment horizontal="center" vertical="center"/>
      <protection hidden="1"/>
    </xf>
    <xf numFmtId="0" fontId="7" fillId="2" borderId="27" xfId="0" applyFont="1" applyFill="1" applyBorder="1" applyAlignment="1" applyProtection="1">
      <alignment horizontal="center" vertical="center"/>
      <protection hidden="1"/>
    </xf>
    <xf numFmtId="0" fontId="80" fillId="0" borderId="65" xfId="9" applyFont="1" applyFill="1" applyBorder="1" applyAlignment="1" applyProtection="1">
      <alignment horizontal="left" vertical="center" wrapText="1"/>
      <protection hidden="1"/>
    </xf>
    <xf numFmtId="0" fontId="79" fillId="0" borderId="8" xfId="9" applyFont="1" applyFill="1" applyBorder="1" applyAlignment="1" applyProtection="1">
      <alignment horizontal="left" vertical="center" wrapText="1"/>
      <protection hidden="1"/>
    </xf>
  </cellXfs>
  <cellStyles count="10">
    <cellStyle name="Hiperligação" xfId="8" builtinId="8"/>
    <cellStyle name="Moeda" xfId="1" builtinId="4"/>
    <cellStyle name="Moeda 2" xfId="5"/>
    <cellStyle name="Normal" xfId="0" builtinId="0"/>
    <cellStyle name="Normal 2" xfId="9"/>
    <cellStyle name="Percentagem" xfId="2" builtinId="5"/>
    <cellStyle name="Separador de milhares [0]" xfId="3" builtinId="6"/>
    <cellStyle name="Separador de milhares [0] 2" xfId="6"/>
    <cellStyle name="Vírgula" xfId="4" builtinId="3"/>
    <cellStyle name="Vírgula 2" xfId="7"/>
  </cellStyles>
  <dxfs count="22"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204995</xdr:colOff>
      <xdr:row>1</xdr:row>
      <xdr:rowOff>548309</xdr:rowOff>
    </xdr:from>
    <xdr:to>
      <xdr:col>10</xdr:col>
      <xdr:colOff>433595</xdr:colOff>
      <xdr:row>1</xdr:row>
      <xdr:rowOff>1034084</xdr:rowOff>
    </xdr:to>
    <xdr:pic>
      <xdr:nvPicPr>
        <xdr:cNvPr id="620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9670" y="643559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541460</xdr:colOff>
      <xdr:row>3</xdr:row>
      <xdr:rowOff>0</xdr:rowOff>
    </xdr:from>
    <xdr:to>
      <xdr:col>11</xdr:col>
      <xdr:colOff>131600</xdr:colOff>
      <xdr:row>3</xdr:row>
      <xdr:rowOff>485775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7235" y="657225"/>
          <a:ext cx="139989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801803</xdr:colOff>
      <xdr:row>1</xdr:row>
      <xdr:rowOff>28575</xdr:rowOff>
    </xdr:from>
    <xdr:to>
      <xdr:col>12</xdr:col>
      <xdr:colOff>417872</xdr:colOff>
      <xdr:row>3</xdr:row>
      <xdr:rowOff>57150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9303" y="219075"/>
          <a:ext cx="1521069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484303</xdr:colOff>
      <xdr:row>1</xdr:row>
      <xdr:rowOff>176742</xdr:rowOff>
    </xdr:from>
    <xdr:to>
      <xdr:col>9</xdr:col>
      <xdr:colOff>100372</xdr:colOff>
      <xdr:row>3</xdr:row>
      <xdr:rowOff>205317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4553" y="377825"/>
          <a:ext cx="1436402" cy="483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25990</xdr:colOff>
      <xdr:row>0</xdr:row>
      <xdr:rowOff>112059</xdr:rowOff>
    </xdr:from>
    <xdr:to>
      <xdr:col>2</xdr:col>
      <xdr:colOff>1470859</xdr:colOff>
      <xdr:row>2</xdr:row>
      <xdr:rowOff>138393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343" y="112059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25990</xdr:colOff>
      <xdr:row>0</xdr:row>
      <xdr:rowOff>112059</xdr:rowOff>
    </xdr:from>
    <xdr:to>
      <xdr:col>2</xdr:col>
      <xdr:colOff>1470859</xdr:colOff>
      <xdr:row>2</xdr:row>
      <xdr:rowOff>138393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65" y="112059"/>
          <a:ext cx="1444869" cy="483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8</xdr:row>
      <xdr:rowOff>76200</xdr:rowOff>
    </xdr:from>
    <xdr:to>
      <xdr:col>11</xdr:col>
      <xdr:colOff>1006727</xdr:colOff>
      <xdr:row>11</xdr:row>
      <xdr:rowOff>78147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9325" y="1371600"/>
          <a:ext cx="1444877" cy="48772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274760</xdr:colOff>
      <xdr:row>2</xdr:row>
      <xdr:rowOff>76200</xdr:rowOff>
    </xdr:from>
    <xdr:to>
      <xdr:col>12</xdr:col>
      <xdr:colOff>5129</xdr:colOff>
      <xdr:row>4</xdr:row>
      <xdr:rowOff>28575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0810" y="390525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660522</xdr:colOff>
      <xdr:row>17</xdr:row>
      <xdr:rowOff>119063</xdr:rowOff>
    </xdr:from>
    <xdr:to>
      <xdr:col>8</xdr:col>
      <xdr:colOff>2105391</xdr:colOff>
      <xdr:row>19</xdr:row>
      <xdr:rowOff>152400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8616" y="321469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731956</xdr:colOff>
      <xdr:row>1</xdr:row>
      <xdr:rowOff>35721</xdr:rowOff>
    </xdr:from>
    <xdr:to>
      <xdr:col>8</xdr:col>
      <xdr:colOff>2176825</xdr:colOff>
      <xdr:row>3</xdr:row>
      <xdr:rowOff>104777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1612" y="23812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704746</xdr:colOff>
      <xdr:row>3</xdr:row>
      <xdr:rowOff>13607</xdr:rowOff>
    </xdr:from>
    <xdr:to>
      <xdr:col>10</xdr:col>
      <xdr:colOff>334699</xdr:colOff>
      <xdr:row>3</xdr:row>
      <xdr:rowOff>499382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4925" y="68035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541460</xdr:colOff>
      <xdr:row>3</xdr:row>
      <xdr:rowOff>0</xdr:rowOff>
    </xdr:from>
    <xdr:to>
      <xdr:col>10</xdr:col>
      <xdr:colOff>111315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312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541460</xdr:colOff>
      <xdr:row>3</xdr:row>
      <xdr:rowOff>0</xdr:rowOff>
    </xdr:from>
    <xdr:to>
      <xdr:col>10</xdr:col>
      <xdr:colOff>127191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212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541460</xdr:colOff>
      <xdr:row>3</xdr:row>
      <xdr:rowOff>0</xdr:rowOff>
    </xdr:from>
    <xdr:to>
      <xdr:col>10</xdr:col>
      <xdr:colOff>131600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212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541460</xdr:colOff>
      <xdr:row>3</xdr:row>
      <xdr:rowOff>0</xdr:rowOff>
    </xdr:from>
    <xdr:to>
      <xdr:col>10</xdr:col>
      <xdr:colOff>131600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212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541460</xdr:colOff>
      <xdr:row>3</xdr:row>
      <xdr:rowOff>0</xdr:rowOff>
    </xdr:from>
    <xdr:to>
      <xdr:col>11</xdr:col>
      <xdr:colOff>131600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587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541460</xdr:colOff>
      <xdr:row>3</xdr:row>
      <xdr:rowOff>0</xdr:rowOff>
    </xdr:from>
    <xdr:to>
      <xdr:col>10</xdr:col>
      <xdr:colOff>131600</xdr:colOff>
      <xdr:row>3</xdr:row>
      <xdr:rowOff>485775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2127" y="656167"/>
          <a:ext cx="144486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B1:K89"/>
  <sheetViews>
    <sheetView showGridLines="0" tabSelected="1" zoomScaleNormal="100" workbookViewId="0">
      <selection activeCell="J4" sqref="J4:K5"/>
    </sheetView>
  </sheetViews>
  <sheetFormatPr defaultColWidth="9.109375" defaultRowHeight="12" x14ac:dyDescent="0.3"/>
  <cols>
    <col min="1" max="1" width="3.5546875" style="247" customWidth="1"/>
    <col min="2" max="2" width="45.44140625" style="247" bestFit="1" customWidth="1"/>
    <col min="3" max="10" width="9.109375" style="247"/>
    <col min="11" max="11" width="9.109375" style="247" customWidth="1"/>
    <col min="12" max="16384" width="9.109375" style="247"/>
  </cols>
  <sheetData>
    <row r="1" spans="2:11" ht="7.5" customHeight="1" thickBot="1" x14ac:dyDescent="0.3"/>
    <row r="2" spans="2:11" ht="87" customHeight="1" thickBot="1" x14ac:dyDescent="0.35">
      <c r="B2" s="910" t="s">
        <v>490</v>
      </c>
      <c r="C2" s="911"/>
      <c r="D2" s="911"/>
      <c r="E2" s="911"/>
      <c r="F2" s="911"/>
      <c r="G2" s="911"/>
      <c r="H2" s="911"/>
      <c r="I2" s="911"/>
      <c r="J2" s="911"/>
      <c r="K2" s="912"/>
    </row>
    <row r="3" spans="2:11" ht="16.5" customHeight="1" thickBot="1" x14ac:dyDescent="0.3">
      <c r="B3" s="836"/>
      <c r="C3" s="836"/>
      <c r="D3" s="836"/>
      <c r="E3" s="836"/>
      <c r="F3" s="836"/>
      <c r="G3" s="836"/>
      <c r="H3" s="836"/>
      <c r="I3" s="836"/>
      <c r="J3" s="836"/>
      <c r="K3" s="836"/>
    </row>
    <row r="4" spans="2:11" ht="16.5" customHeight="1" x14ac:dyDescent="0.3">
      <c r="B4" s="899" t="s">
        <v>499</v>
      </c>
      <c r="C4" s="900"/>
      <c r="D4" s="900"/>
      <c r="E4" s="900"/>
      <c r="F4" s="900"/>
      <c r="G4" s="900"/>
      <c r="H4" s="900"/>
      <c r="I4" s="900"/>
      <c r="J4" s="903"/>
      <c r="K4" s="904"/>
    </row>
    <row r="5" spans="2:11" ht="16.5" customHeight="1" thickBot="1" x14ac:dyDescent="0.35">
      <c r="B5" s="901"/>
      <c r="C5" s="902"/>
      <c r="D5" s="902"/>
      <c r="E5" s="902"/>
      <c r="F5" s="902"/>
      <c r="G5" s="902"/>
      <c r="H5" s="902"/>
      <c r="I5" s="902"/>
      <c r="J5" s="905"/>
      <c r="K5" s="906"/>
    </row>
    <row r="6" spans="2:11" ht="17.25" customHeight="1" thickBot="1" x14ac:dyDescent="0.3">
      <c r="B6" s="438"/>
    </row>
    <row r="7" spans="2:11" ht="15" customHeight="1" x14ac:dyDescent="0.3">
      <c r="B7" s="899" t="s">
        <v>425</v>
      </c>
      <c r="C7" s="900"/>
      <c r="D7" s="900"/>
      <c r="E7" s="900"/>
      <c r="F7" s="900"/>
      <c r="G7" s="900"/>
      <c r="H7" s="900"/>
      <c r="I7" s="248"/>
      <c r="J7" s="248"/>
      <c r="K7" s="249"/>
    </row>
    <row r="8" spans="2:11" ht="15" customHeight="1" x14ac:dyDescent="0.3">
      <c r="B8" s="252" t="s">
        <v>254</v>
      </c>
      <c r="C8" s="352"/>
      <c r="D8" s="352"/>
      <c r="E8" s="352"/>
      <c r="F8" s="352"/>
      <c r="G8" s="352"/>
      <c r="H8" s="352"/>
      <c r="I8" s="250"/>
      <c r="J8" s="250"/>
      <c r="K8" s="251"/>
    </row>
    <row r="9" spans="2:11" ht="15" customHeight="1" x14ac:dyDescent="0.25">
      <c r="B9" s="252" t="s">
        <v>247</v>
      </c>
      <c r="C9" s="253"/>
      <c r="D9" s="253"/>
      <c r="E9" s="253"/>
      <c r="F9" s="253"/>
      <c r="G9" s="253"/>
      <c r="H9" s="250"/>
      <c r="I9" s="250"/>
      <c r="J9" s="250"/>
      <c r="K9" s="251"/>
    </row>
    <row r="10" spans="2:11" ht="15" customHeight="1" x14ac:dyDescent="0.3">
      <c r="B10" s="252" t="s">
        <v>248</v>
      </c>
      <c r="C10" s="253"/>
      <c r="D10" s="253"/>
      <c r="E10" s="253"/>
      <c r="F10" s="253"/>
      <c r="G10" s="253"/>
      <c r="H10" s="250"/>
      <c r="I10" s="250"/>
      <c r="J10" s="250"/>
      <c r="K10" s="251"/>
    </row>
    <row r="11" spans="2:11" ht="15" customHeight="1" x14ac:dyDescent="0.3">
      <c r="B11" s="252" t="s">
        <v>261</v>
      </c>
      <c r="C11" s="253"/>
      <c r="D11" s="253"/>
      <c r="E11" s="253"/>
      <c r="F11" s="253"/>
      <c r="G11" s="253"/>
      <c r="H11" s="250"/>
      <c r="I11" s="254"/>
      <c r="J11" s="250"/>
      <c r="K11" s="251"/>
    </row>
    <row r="12" spans="2:11" ht="15" customHeight="1" x14ac:dyDescent="0.3">
      <c r="B12" s="252" t="s">
        <v>262</v>
      </c>
      <c r="C12" s="253"/>
      <c r="D12" s="253"/>
      <c r="E12" s="253"/>
      <c r="F12" s="253"/>
      <c r="G12" s="253"/>
      <c r="H12" s="250"/>
      <c r="I12" s="250"/>
      <c r="J12" s="250"/>
      <c r="K12" s="251"/>
    </row>
    <row r="13" spans="2:11" ht="15" customHeight="1" x14ac:dyDescent="0.3">
      <c r="B13" s="252" t="s">
        <v>249</v>
      </c>
      <c r="C13" s="253"/>
      <c r="D13" s="253"/>
      <c r="E13" s="253"/>
      <c r="F13" s="253"/>
      <c r="G13" s="253"/>
      <c r="H13" s="250"/>
      <c r="I13" s="250"/>
      <c r="J13" s="250"/>
      <c r="K13" s="251"/>
    </row>
    <row r="14" spans="2:11" ht="15" customHeight="1" x14ac:dyDescent="0.3">
      <c r="B14" s="252" t="s">
        <v>250</v>
      </c>
      <c r="C14" s="253"/>
      <c r="D14" s="253"/>
      <c r="E14" s="253"/>
      <c r="F14" s="253"/>
      <c r="G14" s="253"/>
      <c r="H14" s="250"/>
      <c r="I14" s="250"/>
      <c r="J14" s="250"/>
      <c r="K14" s="251"/>
    </row>
    <row r="15" spans="2:11" ht="15" customHeight="1" x14ac:dyDescent="0.3">
      <c r="B15" s="252" t="s">
        <v>251</v>
      </c>
      <c r="C15" s="253"/>
      <c r="D15" s="253"/>
      <c r="E15" s="253"/>
      <c r="F15" s="253"/>
      <c r="G15" s="253"/>
      <c r="H15" s="250"/>
      <c r="I15" s="250"/>
      <c r="J15" s="250"/>
      <c r="K15" s="251"/>
    </row>
    <row r="16" spans="2:11" ht="15" customHeight="1" x14ac:dyDescent="0.3">
      <c r="B16" s="252" t="s">
        <v>252</v>
      </c>
      <c r="C16" s="253"/>
      <c r="D16" s="253"/>
      <c r="E16" s="253"/>
      <c r="F16" s="253"/>
      <c r="G16" s="253"/>
      <c r="H16" s="250"/>
      <c r="I16" s="250"/>
      <c r="J16" s="250"/>
      <c r="K16" s="251"/>
    </row>
    <row r="17" spans="2:11" ht="15" customHeight="1" x14ac:dyDescent="0.25">
      <c r="B17" s="252" t="s">
        <v>253</v>
      </c>
      <c r="C17" s="253"/>
      <c r="D17" s="253"/>
      <c r="E17" s="253"/>
      <c r="F17" s="253"/>
      <c r="G17" s="253"/>
      <c r="H17" s="250"/>
      <c r="I17" s="250"/>
      <c r="J17" s="250"/>
      <c r="K17" s="251"/>
    </row>
    <row r="18" spans="2:11" ht="15" customHeight="1" x14ac:dyDescent="0.3">
      <c r="B18" s="252" t="s">
        <v>331</v>
      </c>
      <c r="C18" s="253"/>
      <c r="D18" s="253"/>
      <c r="E18" s="253"/>
      <c r="F18" s="253"/>
      <c r="G18" s="253"/>
      <c r="H18" s="250"/>
      <c r="I18" s="250"/>
      <c r="J18" s="250"/>
      <c r="K18" s="251"/>
    </row>
    <row r="19" spans="2:11" ht="15" customHeight="1" x14ac:dyDescent="0.3">
      <c r="B19" s="252" t="s">
        <v>412</v>
      </c>
      <c r="C19" s="253"/>
      <c r="D19" s="253"/>
      <c r="E19" s="253"/>
      <c r="F19" s="253"/>
      <c r="G19" s="253"/>
      <c r="H19" s="250"/>
      <c r="I19" s="250"/>
      <c r="J19" s="250"/>
      <c r="K19" s="251"/>
    </row>
    <row r="20" spans="2:11" ht="15" customHeight="1" x14ac:dyDescent="0.3">
      <c r="B20" s="252" t="s">
        <v>413</v>
      </c>
      <c r="C20" s="253"/>
      <c r="D20" s="253"/>
      <c r="E20" s="253"/>
      <c r="F20" s="253"/>
      <c r="G20" s="253"/>
      <c r="H20" s="250"/>
      <c r="I20" s="250"/>
      <c r="J20" s="250"/>
      <c r="K20" s="251"/>
    </row>
    <row r="21" spans="2:11" ht="15" customHeight="1" x14ac:dyDescent="0.3">
      <c r="B21" s="252" t="s">
        <v>415</v>
      </c>
      <c r="C21" s="253"/>
      <c r="D21" s="253"/>
      <c r="E21" s="253"/>
      <c r="F21" s="253"/>
      <c r="G21" s="253"/>
      <c r="H21" s="250"/>
      <c r="I21" s="250"/>
      <c r="J21" s="250"/>
      <c r="K21" s="251"/>
    </row>
    <row r="22" spans="2:11" ht="15" customHeight="1" x14ac:dyDescent="0.3">
      <c r="B22" s="252" t="s">
        <v>416</v>
      </c>
      <c r="C22" s="253"/>
      <c r="D22" s="253"/>
      <c r="E22" s="253"/>
      <c r="F22" s="253"/>
      <c r="G22" s="253"/>
      <c r="H22" s="250"/>
      <c r="I22" s="250"/>
      <c r="J22" s="250"/>
      <c r="K22" s="251"/>
    </row>
    <row r="23" spans="2:11" ht="15" customHeight="1" x14ac:dyDescent="0.3">
      <c r="B23" s="927" t="s">
        <v>145</v>
      </c>
      <c r="C23" s="928"/>
      <c r="D23" s="928"/>
      <c r="E23" s="928"/>
      <c r="F23" s="928"/>
      <c r="G23" s="928"/>
      <c r="H23" s="928"/>
      <c r="I23" s="250"/>
      <c r="J23" s="250"/>
      <c r="K23" s="251"/>
    </row>
    <row r="24" spans="2:11" ht="15" customHeight="1" x14ac:dyDescent="0.3">
      <c r="B24" s="252" t="s">
        <v>379</v>
      </c>
      <c r="C24" s="434"/>
      <c r="D24" s="434"/>
      <c r="E24" s="434"/>
      <c r="F24" s="434"/>
      <c r="G24" s="434"/>
      <c r="H24" s="250"/>
      <c r="I24" s="250"/>
      <c r="J24" s="250"/>
      <c r="K24" s="251"/>
    </row>
    <row r="25" spans="2:11" ht="15" customHeight="1" x14ac:dyDescent="0.3">
      <c r="B25" s="252" t="s">
        <v>380</v>
      </c>
      <c r="C25" s="434"/>
      <c r="D25" s="434"/>
      <c r="E25" s="434"/>
      <c r="F25" s="434"/>
      <c r="G25" s="434"/>
      <c r="H25" s="250"/>
      <c r="I25" s="250"/>
      <c r="J25" s="250"/>
      <c r="K25" s="251"/>
    </row>
    <row r="26" spans="2:11" ht="15" customHeight="1" x14ac:dyDescent="0.3">
      <c r="B26" s="252"/>
      <c r="C26" s="253"/>
      <c r="D26" s="253"/>
      <c r="E26" s="253"/>
      <c r="F26" s="253"/>
      <c r="G26" s="253"/>
      <c r="H26" s="250"/>
      <c r="I26" s="250"/>
      <c r="J26" s="250"/>
      <c r="K26" s="251"/>
    </row>
    <row r="27" spans="2:11" s="258" customFormat="1" ht="12.75" customHeight="1" x14ac:dyDescent="0.3">
      <c r="B27" s="255" t="s">
        <v>151</v>
      </c>
      <c r="C27" s="256"/>
      <c r="D27" s="256"/>
      <c r="E27" s="256"/>
      <c r="F27" s="256"/>
      <c r="G27" s="256"/>
      <c r="H27" s="256"/>
      <c r="I27" s="256"/>
      <c r="J27" s="256"/>
      <c r="K27" s="257"/>
    </row>
    <row r="28" spans="2:11" s="258" customFormat="1" ht="6" customHeight="1" x14ac:dyDescent="0.3">
      <c r="B28" s="259"/>
      <c r="C28" s="260"/>
      <c r="D28" s="260"/>
      <c r="E28" s="260"/>
      <c r="F28" s="260"/>
      <c r="G28" s="260"/>
      <c r="H28" s="260"/>
      <c r="I28" s="260"/>
      <c r="J28" s="260"/>
      <c r="K28" s="261"/>
    </row>
    <row r="29" spans="2:11" s="258" customFormat="1" ht="13.2" x14ac:dyDescent="0.3">
      <c r="B29" s="262" t="s">
        <v>150</v>
      </c>
      <c r="C29" s="260"/>
      <c r="D29" s="260"/>
      <c r="E29" s="260"/>
      <c r="F29" s="260"/>
      <c r="G29" s="260"/>
      <c r="H29" s="260"/>
      <c r="I29" s="260"/>
      <c r="J29" s="260"/>
      <c r="K29" s="261"/>
    </row>
    <row r="30" spans="2:11" s="258" customFormat="1" ht="13.2" x14ac:dyDescent="0.3">
      <c r="B30" s="263" t="s">
        <v>419</v>
      </c>
      <c r="C30" s="260"/>
      <c r="D30" s="260"/>
      <c r="E30" s="260"/>
      <c r="F30" s="260"/>
      <c r="G30" s="260"/>
      <c r="H30" s="260"/>
      <c r="I30" s="260"/>
      <c r="J30" s="260"/>
      <c r="K30" s="261"/>
    </row>
    <row r="31" spans="2:11" s="258" customFormat="1" ht="12" customHeight="1" x14ac:dyDescent="0.3">
      <c r="B31" s="263" t="s">
        <v>491</v>
      </c>
      <c r="C31" s="260"/>
      <c r="D31" s="260"/>
      <c r="E31" s="260"/>
      <c r="F31" s="260"/>
      <c r="G31" s="260"/>
      <c r="H31" s="260"/>
      <c r="I31" s="260"/>
      <c r="J31" s="260"/>
      <c r="K31" s="261"/>
    </row>
    <row r="32" spans="2:11" s="258" customFormat="1" ht="12" customHeight="1" x14ac:dyDescent="0.3">
      <c r="B32" s="263" t="s">
        <v>422</v>
      </c>
      <c r="C32" s="260"/>
      <c r="D32" s="260"/>
      <c r="E32" s="260"/>
      <c r="F32" s="260"/>
      <c r="G32" s="260"/>
      <c r="H32" s="260"/>
      <c r="I32" s="260"/>
      <c r="J32" s="260"/>
      <c r="K32" s="261"/>
    </row>
    <row r="33" spans="2:11" s="258" customFormat="1" ht="12" customHeight="1" x14ac:dyDescent="0.3">
      <c r="B33" s="263" t="s">
        <v>492</v>
      </c>
      <c r="C33" s="260"/>
      <c r="D33" s="260"/>
      <c r="E33" s="260"/>
      <c r="F33" s="260"/>
      <c r="G33" s="260"/>
      <c r="H33" s="260"/>
      <c r="I33" s="260"/>
      <c r="J33" s="260"/>
      <c r="K33" s="261"/>
    </row>
    <row r="34" spans="2:11" s="258" customFormat="1" ht="13.2" x14ac:dyDescent="0.3">
      <c r="B34" s="263" t="s">
        <v>493</v>
      </c>
      <c r="C34" s="260"/>
      <c r="D34" s="260"/>
      <c r="E34" s="260"/>
      <c r="F34" s="260"/>
      <c r="G34" s="260"/>
      <c r="H34" s="260"/>
      <c r="I34" s="260"/>
      <c r="J34" s="260"/>
      <c r="K34" s="261"/>
    </row>
    <row r="35" spans="2:11" s="258" customFormat="1" ht="13.2" x14ac:dyDescent="0.3">
      <c r="B35" s="263"/>
      <c r="C35" s="260"/>
      <c r="D35" s="260"/>
      <c r="E35" s="260"/>
      <c r="F35" s="260"/>
      <c r="G35" s="260"/>
      <c r="H35" s="260"/>
      <c r="I35" s="260"/>
      <c r="J35" s="260"/>
      <c r="K35" s="261"/>
    </row>
    <row r="36" spans="2:11" s="258" customFormat="1" ht="13.2" x14ac:dyDescent="0.3">
      <c r="B36" s="262" t="s">
        <v>255</v>
      </c>
      <c r="C36" s="260"/>
      <c r="D36" s="260"/>
      <c r="E36" s="260"/>
      <c r="F36" s="260"/>
      <c r="G36" s="260"/>
      <c r="H36" s="260"/>
      <c r="I36" s="260"/>
      <c r="J36" s="260"/>
      <c r="K36" s="261"/>
    </row>
    <row r="37" spans="2:11" s="258" customFormat="1" ht="13.2" x14ac:dyDescent="0.3">
      <c r="B37" s="263" t="s">
        <v>332</v>
      </c>
      <c r="C37" s="260"/>
      <c r="D37" s="260"/>
      <c r="E37" s="260"/>
      <c r="F37" s="260"/>
      <c r="G37" s="260"/>
      <c r="H37" s="260"/>
      <c r="I37" s="260"/>
      <c r="J37" s="260"/>
      <c r="K37" s="261"/>
    </row>
    <row r="38" spans="2:11" s="258" customFormat="1" ht="13.2" x14ac:dyDescent="0.3">
      <c r="B38" s="263" t="s">
        <v>28</v>
      </c>
      <c r="C38" s="260"/>
      <c r="D38" s="260"/>
      <c r="E38" s="260"/>
      <c r="F38" s="260"/>
      <c r="G38" s="260"/>
      <c r="H38" s="260"/>
      <c r="I38" s="260"/>
      <c r="J38" s="260"/>
      <c r="K38" s="261"/>
    </row>
    <row r="39" spans="2:11" s="258" customFormat="1" ht="13.2" x14ac:dyDescent="0.3">
      <c r="B39" s="263" t="s">
        <v>494</v>
      </c>
      <c r="C39" s="260"/>
      <c r="D39" s="260"/>
      <c r="E39" s="260"/>
      <c r="F39" s="260"/>
      <c r="G39" s="260"/>
      <c r="H39" s="260"/>
      <c r="I39" s="260"/>
      <c r="J39" s="260"/>
      <c r="K39" s="261"/>
    </row>
    <row r="40" spans="2:11" s="258" customFormat="1" ht="13.2" x14ac:dyDescent="0.3">
      <c r="B40" s="263" t="s">
        <v>27</v>
      </c>
      <c r="C40" s="260"/>
      <c r="D40" s="260"/>
      <c r="E40" s="260"/>
      <c r="F40" s="260"/>
      <c r="G40" s="260"/>
      <c r="H40" s="260"/>
      <c r="I40" s="260"/>
      <c r="J40" s="260"/>
      <c r="K40" s="261"/>
    </row>
    <row r="41" spans="2:11" s="258" customFormat="1" ht="13.2" x14ac:dyDescent="0.3">
      <c r="B41" s="263" t="s">
        <v>68</v>
      </c>
      <c r="C41" s="260"/>
      <c r="D41" s="260"/>
      <c r="E41" s="260"/>
      <c r="F41" s="260"/>
      <c r="G41" s="260"/>
      <c r="H41" s="260"/>
      <c r="I41" s="260"/>
      <c r="J41" s="260"/>
      <c r="K41" s="261"/>
    </row>
    <row r="42" spans="2:11" s="258" customFormat="1" ht="13.2" x14ac:dyDescent="0.3">
      <c r="B42" s="263" t="s">
        <v>221</v>
      </c>
      <c r="C42" s="260"/>
      <c r="D42" s="260"/>
      <c r="E42" s="260"/>
      <c r="F42" s="260"/>
      <c r="G42" s="260"/>
      <c r="H42" s="260"/>
      <c r="I42" s="260"/>
      <c r="J42" s="260"/>
      <c r="K42" s="261"/>
    </row>
    <row r="43" spans="2:11" s="258" customFormat="1" ht="13.2" x14ac:dyDescent="0.3">
      <c r="B43" s="263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2:11" s="258" customFormat="1" ht="13.2" x14ac:dyDescent="0.3">
      <c r="B44" s="262" t="s">
        <v>333</v>
      </c>
      <c r="C44" s="260"/>
      <c r="D44" s="260"/>
      <c r="E44" s="260"/>
      <c r="F44" s="260"/>
      <c r="G44" s="260"/>
      <c r="H44" s="260"/>
      <c r="I44" s="260"/>
      <c r="J44" s="260"/>
      <c r="K44" s="261"/>
    </row>
    <row r="45" spans="2:11" s="258" customFormat="1" ht="13.2" x14ac:dyDescent="0.3">
      <c r="B45" s="263" t="s">
        <v>453</v>
      </c>
      <c r="C45" s="260"/>
      <c r="D45" s="260"/>
      <c r="E45" s="260"/>
      <c r="F45" s="260"/>
      <c r="G45" s="260"/>
      <c r="H45" s="260"/>
      <c r="I45" s="260"/>
      <c r="J45" s="260"/>
      <c r="K45" s="261"/>
    </row>
    <row r="46" spans="2:11" s="258" customFormat="1" ht="13.2" x14ac:dyDescent="0.3">
      <c r="B46" s="263" t="s">
        <v>68</v>
      </c>
      <c r="C46" s="260"/>
      <c r="D46" s="260"/>
      <c r="E46" s="260"/>
      <c r="F46" s="260"/>
      <c r="G46" s="260"/>
      <c r="H46" s="260"/>
      <c r="I46" s="260"/>
      <c r="J46" s="260"/>
      <c r="K46" s="261"/>
    </row>
    <row r="47" spans="2:11" s="258" customFormat="1" ht="13.2" x14ac:dyDescent="0.3">
      <c r="B47" s="263"/>
      <c r="C47" s="260"/>
      <c r="D47" s="260"/>
      <c r="E47" s="260"/>
      <c r="F47" s="260"/>
      <c r="G47" s="260"/>
      <c r="H47" s="260"/>
      <c r="I47" s="260"/>
      <c r="J47" s="260"/>
      <c r="K47" s="261"/>
    </row>
    <row r="48" spans="2:11" s="258" customFormat="1" ht="13.2" x14ac:dyDescent="0.3">
      <c r="B48" s="552" t="s">
        <v>406</v>
      </c>
      <c r="C48" s="260"/>
      <c r="D48" s="260"/>
      <c r="E48" s="260"/>
      <c r="F48" s="260"/>
      <c r="G48" s="260"/>
      <c r="H48" s="260"/>
      <c r="I48" s="260"/>
      <c r="J48" s="260"/>
      <c r="K48" s="261"/>
    </row>
    <row r="49" spans="2:11" s="258" customFormat="1" ht="13.2" x14ac:dyDescent="0.3">
      <c r="B49" s="263" t="s">
        <v>222</v>
      </c>
      <c r="C49" s="260"/>
      <c r="D49" s="260"/>
      <c r="E49" s="260"/>
      <c r="F49" s="260"/>
      <c r="G49" s="260"/>
      <c r="H49" s="260"/>
      <c r="I49" s="260"/>
      <c r="J49" s="260"/>
      <c r="K49" s="261"/>
    </row>
    <row r="50" spans="2:11" s="258" customFormat="1" ht="13.2" x14ac:dyDescent="0.3">
      <c r="B50" s="263" t="s">
        <v>497</v>
      </c>
      <c r="C50" s="260"/>
      <c r="D50" s="260"/>
      <c r="E50" s="260"/>
      <c r="F50" s="260"/>
      <c r="G50" s="260"/>
      <c r="H50" s="260"/>
      <c r="I50" s="260"/>
      <c r="J50" s="260"/>
      <c r="K50" s="261"/>
    </row>
    <row r="51" spans="2:11" s="258" customFormat="1" ht="13.2" x14ac:dyDescent="0.3">
      <c r="B51" s="263" t="s">
        <v>498</v>
      </c>
      <c r="C51" s="260"/>
      <c r="D51" s="260"/>
      <c r="E51" s="260"/>
      <c r="F51" s="260"/>
      <c r="G51" s="260"/>
      <c r="H51" s="260"/>
      <c r="I51" s="260"/>
      <c r="J51" s="260"/>
      <c r="K51" s="261"/>
    </row>
    <row r="52" spans="2:11" s="258" customFormat="1" ht="13.2" x14ac:dyDescent="0.3">
      <c r="B52" s="263" t="s">
        <v>223</v>
      </c>
      <c r="C52" s="260"/>
      <c r="D52" s="260"/>
      <c r="E52" s="260"/>
      <c r="F52" s="260"/>
      <c r="G52" s="260"/>
      <c r="H52" s="260"/>
      <c r="I52" s="260"/>
      <c r="J52" s="260"/>
      <c r="K52" s="261"/>
    </row>
    <row r="53" spans="2:11" s="258" customFormat="1" ht="13.2" x14ac:dyDescent="0.3">
      <c r="B53" s="263" t="s">
        <v>496</v>
      </c>
      <c r="C53" s="260"/>
      <c r="D53" s="260"/>
      <c r="E53" s="260"/>
      <c r="F53" s="260"/>
      <c r="G53" s="260"/>
      <c r="H53" s="260"/>
      <c r="I53" s="260"/>
      <c r="J53" s="260"/>
      <c r="K53" s="261"/>
    </row>
    <row r="54" spans="2:11" s="258" customFormat="1" ht="13.2" x14ac:dyDescent="0.3">
      <c r="B54" s="264"/>
      <c r="C54" s="260"/>
      <c r="D54" s="260"/>
      <c r="E54" s="260"/>
      <c r="F54" s="260"/>
      <c r="G54" s="260"/>
      <c r="H54" s="260"/>
      <c r="I54" s="260"/>
      <c r="J54" s="260"/>
      <c r="K54" s="261"/>
    </row>
    <row r="55" spans="2:11" ht="13.5" customHeight="1" x14ac:dyDescent="0.3">
      <c r="B55" s="439" t="s">
        <v>417</v>
      </c>
      <c r="C55" s="253"/>
      <c r="D55" s="253"/>
      <c r="E55" s="253"/>
      <c r="F55" s="253"/>
      <c r="G55" s="253"/>
      <c r="H55" s="250"/>
      <c r="I55" s="250"/>
      <c r="J55" s="250"/>
      <c r="K55" s="251"/>
    </row>
    <row r="56" spans="2:11" ht="13.5" customHeight="1" x14ac:dyDescent="0.3">
      <c r="B56" s="263" t="s">
        <v>381</v>
      </c>
      <c r="C56" s="253"/>
      <c r="D56" s="253"/>
      <c r="E56" s="253"/>
      <c r="F56" s="253"/>
      <c r="G56" s="253"/>
      <c r="H56" s="250"/>
      <c r="I56" s="250"/>
      <c r="J56" s="250"/>
      <c r="K56" s="251"/>
    </row>
    <row r="57" spans="2:11" ht="13.5" customHeight="1" x14ac:dyDescent="0.3">
      <c r="B57" s="263"/>
      <c r="C57" s="253"/>
      <c r="D57" s="253"/>
      <c r="E57" s="253"/>
      <c r="F57" s="253"/>
      <c r="G57" s="253"/>
      <c r="H57" s="250"/>
      <c r="I57" s="250"/>
      <c r="J57" s="250"/>
      <c r="K57" s="251"/>
    </row>
    <row r="58" spans="2:11" s="258" customFormat="1" ht="13.2" x14ac:dyDescent="0.3">
      <c r="B58" s="262" t="s">
        <v>418</v>
      </c>
      <c r="C58" s="260"/>
      <c r="D58" s="260"/>
      <c r="E58" s="260"/>
      <c r="F58" s="260"/>
      <c r="G58" s="260"/>
      <c r="H58" s="260"/>
      <c r="I58" s="260"/>
      <c r="J58" s="260"/>
      <c r="K58" s="261"/>
    </row>
    <row r="59" spans="2:11" s="258" customFormat="1" ht="13.2" x14ac:dyDescent="0.3">
      <c r="B59" s="263" t="s">
        <v>495</v>
      </c>
      <c r="C59" s="260"/>
      <c r="D59" s="260"/>
      <c r="E59" s="260"/>
      <c r="F59" s="260"/>
      <c r="G59" s="260"/>
      <c r="H59" s="260"/>
      <c r="I59" s="260"/>
      <c r="J59" s="260"/>
      <c r="K59" s="261"/>
    </row>
    <row r="60" spans="2:11" s="258" customFormat="1" ht="13.5" customHeight="1" x14ac:dyDescent="0.3">
      <c r="B60" s="263"/>
      <c r="C60" s="260"/>
      <c r="D60" s="260"/>
      <c r="E60" s="260"/>
      <c r="F60" s="260"/>
      <c r="G60" s="260"/>
      <c r="H60" s="260"/>
      <c r="I60" s="260"/>
      <c r="J60" s="260"/>
      <c r="K60" s="261"/>
    </row>
    <row r="61" spans="2:11" ht="15" customHeight="1" x14ac:dyDescent="0.3">
      <c r="B61" s="262" t="s">
        <v>382</v>
      </c>
      <c r="C61" s="265"/>
      <c r="D61" s="265"/>
      <c r="E61" s="265"/>
      <c r="F61" s="265"/>
      <c r="G61" s="265"/>
      <c r="H61" s="250"/>
      <c r="I61" s="250"/>
      <c r="J61" s="250"/>
      <c r="K61" s="251"/>
    </row>
    <row r="62" spans="2:11" x14ac:dyDescent="0.3">
      <c r="B62" s="913" t="s">
        <v>242</v>
      </c>
      <c r="C62" s="914"/>
      <c r="D62" s="914"/>
      <c r="E62" s="914"/>
      <c r="F62" s="914"/>
      <c r="G62" s="914"/>
      <c r="H62" s="914"/>
      <c r="I62" s="914"/>
      <c r="J62" s="914"/>
      <c r="K62" s="915"/>
    </row>
    <row r="63" spans="2:11" ht="18" customHeight="1" x14ac:dyDescent="0.3">
      <c r="B63" s="913"/>
      <c r="C63" s="914"/>
      <c r="D63" s="914"/>
      <c r="E63" s="914"/>
      <c r="F63" s="914"/>
      <c r="G63" s="914"/>
      <c r="H63" s="914"/>
      <c r="I63" s="914"/>
      <c r="J63" s="914"/>
      <c r="K63" s="915"/>
    </row>
    <row r="64" spans="2:11" x14ac:dyDescent="0.3">
      <c r="B64" s="913" t="s">
        <v>146</v>
      </c>
      <c r="C64" s="914"/>
      <c r="D64" s="914"/>
      <c r="E64" s="914"/>
      <c r="F64" s="914"/>
      <c r="G64" s="914"/>
      <c r="H64" s="914"/>
      <c r="I64" s="914"/>
      <c r="J64" s="914"/>
      <c r="K64" s="915"/>
    </row>
    <row r="65" spans="2:11" ht="6.75" customHeight="1" x14ac:dyDescent="0.3">
      <c r="B65" s="913"/>
      <c r="C65" s="914"/>
      <c r="D65" s="914"/>
      <c r="E65" s="914"/>
      <c r="F65" s="914"/>
      <c r="G65" s="914"/>
      <c r="H65" s="914"/>
      <c r="I65" s="914"/>
      <c r="J65" s="914"/>
      <c r="K65" s="915"/>
    </row>
    <row r="66" spans="2:11" ht="6.75" customHeight="1" x14ac:dyDescent="0.3">
      <c r="B66" s="266"/>
      <c r="C66" s="431"/>
      <c r="D66" s="431"/>
      <c r="E66" s="431"/>
      <c r="F66" s="431"/>
      <c r="G66" s="431"/>
      <c r="H66" s="250"/>
      <c r="I66" s="250"/>
      <c r="J66" s="250"/>
      <c r="K66" s="251"/>
    </row>
    <row r="67" spans="2:11" ht="14.25" customHeight="1" x14ac:dyDescent="0.3">
      <c r="B67" s="262" t="s">
        <v>383</v>
      </c>
      <c r="C67" s="431"/>
      <c r="D67" s="431"/>
      <c r="E67" s="431"/>
      <c r="F67" s="431"/>
      <c r="G67" s="431"/>
      <c r="H67" s="250"/>
      <c r="I67" s="250"/>
      <c r="J67" s="250"/>
      <c r="K67" s="251"/>
    </row>
    <row r="68" spans="2:11" ht="14.25" customHeight="1" x14ac:dyDescent="0.3">
      <c r="B68" s="913" t="s">
        <v>257</v>
      </c>
      <c r="C68" s="914"/>
      <c r="D68" s="914"/>
      <c r="E68" s="914"/>
      <c r="F68" s="914"/>
      <c r="G68" s="914"/>
      <c r="H68" s="914"/>
      <c r="I68" s="914"/>
      <c r="J68" s="914"/>
      <c r="K68" s="915"/>
    </row>
    <row r="69" spans="2:11" ht="18" customHeight="1" x14ac:dyDescent="0.3">
      <c r="B69" s="913"/>
      <c r="C69" s="914"/>
      <c r="D69" s="914"/>
      <c r="E69" s="914"/>
      <c r="F69" s="914"/>
      <c r="G69" s="914"/>
      <c r="H69" s="914"/>
      <c r="I69" s="914"/>
      <c r="J69" s="914"/>
      <c r="K69" s="915"/>
    </row>
    <row r="70" spans="2:11" ht="10.5" customHeight="1" x14ac:dyDescent="0.3">
      <c r="B70" s="267"/>
      <c r="C70" s="268"/>
      <c r="D70" s="268"/>
      <c r="E70" s="268"/>
      <c r="F70" s="268"/>
      <c r="G70" s="268"/>
      <c r="H70" s="269"/>
      <c r="I70" s="269"/>
      <c r="J70" s="269"/>
      <c r="K70" s="270"/>
    </row>
    <row r="71" spans="2:11" ht="15" customHeight="1" x14ac:dyDescent="0.3">
      <c r="B71" s="271" t="s">
        <v>147</v>
      </c>
      <c r="C71" s="272"/>
      <c r="D71" s="272"/>
      <c r="E71" s="272"/>
      <c r="F71" s="272"/>
      <c r="G71" s="272"/>
      <c r="H71" s="250"/>
      <c r="I71" s="250"/>
      <c r="J71" s="250"/>
      <c r="K71" s="251"/>
    </row>
    <row r="72" spans="2:11" ht="3.75" customHeight="1" x14ac:dyDescent="0.3">
      <c r="B72" s="273"/>
      <c r="C72" s="272"/>
      <c r="D72" s="272"/>
      <c r="E72" s="272"/>
      <c r="F72" s="272"/>
      <c r="G72" s="272"/>
      <c r="H72" s="250"/>
      <c r="I72" s="250"/>
      <c r="J72" s="250"/>
      <c r="K72" s="251"/>
    </row>
    <row r="73" spans="2:11" ht="15" customHeight="1" x14ac:dyDescent="0.3">
      <c r="B73" s="432" t="s">
        <v>384</v>
      </c>
      <c r="C73" s="272"/>
      <c r="D73" s="272"/>
      <c r="E73" s="272"/>
      <c r="F73" s="272"/>
      <c r="G73" s="272"/>
      <c r="H73" s="250"/>
      <c r="I73" s="250"/>
      <c r="J73" s="250"/>
      <c r="K73" s="251"/>
    </row>
    <row r="74" spans="2:11" ht="23.25" customHeight="1" x14ac:dyDescent="0.3">
      <c r="B74" s="916" t="s">
        <v>148</v>
      </c>
      <c r="C74" s="917"/>
      <c r="D74" s="917"/>
      <c r="E74" s="917"/>
      <c r="F74" s="917"/>
      <c r="G74" s="917"/>
      <c r="H74" s="917"/>
      <c r="I74" s="917"/>
      <c r="J74" s="917"/>
      <c r="K74" s="918"/>
    </row>
    <row r="75" spans="2:11" ht="11.25" customHeight="1" x14ac:dyDescent="0.3">
      <c r="B75" s="432" t="s">
        <v>334</v>
      </c>
      <c r="C75" s="433"/>
      <c r="D75" s="433"/>
      <c r="E75" s="433"/>
      <c r="F75" s="433"/>
      <c r="G75" s="433"/>
      <c r="H75" s="250"/>
      <c r="I75" s="250"/>
      <c r="J75" s="250"/>
      <c r="K75" s="251"/>
    </row>
    <row r="76" spans="2:11" ht="5.25" customHeight="1" x14ac:dyDescent="0.3">
      <c r="B76" s="274"/>
      <c r="C76" s="275"/>
      <c r="D76" s="275"/>
      <c r="E76" s="275"/>
      <c r="F76" s="275"/>
      <c r="G76" s="275"/>
      <c r="H76" s="276"/>
      <c r="I76" s="276"/>
      <c r="J76" s="276"/>
      <c r="K76" s="277"/>
    </row>
    <row r="77" spans="2:11" ht="17.25" customHeight="1" x14ac:dyDescent="0.3">
      <c r="B77" s="267" t="s">
        <v>335</v>
      </c>
      <c r="C77" s="278"/>
      <c r="D77" s="278"/>
      <c r="E77" s="278"/>
      <c r="F77" s="278"/>
      <c r="G77" s="278"/>
      <c r="H77" s="269"/>
      <c r="I77" s="269"/>
      <c r="J77" s="269"/>
      <c r="K77" s="270"/>
    </row>
    <row r="78" spans="2:11" ht="9" customHeight="1" x14ac:dyDescent="0.3">
      <c r="B78" s="273"/>
      <c r="C78" s="279"/>
      <c r="D78" s="279"/>
      <c r="E78" s="279"/>
      <c r="F78" s="279"/>
      <c r="G78" s="279"/>
      <c r="H78" s="250"/>
      <c r="I78" s="250"/>
      <c r="J78" s="250"/>
      <c r="K78" s="251"/>
    </row>
    <row r="79" spans="2:11" ht="17.25" customHeight="1" x14ac:dyDescent="0.3">
      <c r="B79" s="273" t="s">
        <v>336</v>
      </c>
      <c r="C79" s="279"/>
      <c r="D79" s="279"/>
      <c r="E79" s="279"/>
      <c r="F79" s="279"/>
      <c r="G79" s="279"/>
      <c r="H79" s="250"/>
      <c r="I79" s="250"/>
      <c r="J79" s="250"/>
      <c r="K79" s="251"/>
    </row>
    <row r="80" spans="2:11" ht="37.5" customHeight="1" x14ac:dyDescent="0.3">
      <c r="B80" s="920" t="s">
        <v>256</v>
      </c>
      <c r="C80" s="921"/>
      <c r="D80" s="921"/>
      <c r="E80" s="921"/>
      <c r="F80" s="921"/>
      <c r="G80" s="921"/>
      <c r="H80" s="922"/>
      <c r="I80" s="922"/>
      <c r="J80" s="922"/>
      <c r="K80" s="923"/>
    </row>
    <row r="81" spans="2:11" ht="26.25" customHeight="1" x14ac:dyDescent="0.3">
      <c r="B81" s="927" t="s">
        <v>337</v>
      </c>
      <c r="C81" s="928"/>
      <c r="D81" s="430"/>
      <c r="E81" s="430"/>
      <c r="F81" s="430"/>
      <c r="G81" s="430"/>
      <c r="H81" s="250"/>
      <c r="I81" s="250"/>
      <c r="J81" s="250"/>
      <c r="K81" s="251"/>
    </row>
    <row r="82" spans="2:11" ht="17.25" customHeight="1" x14ac:dyDescent="0.3">
      <c r="B82" s="913" t="s">
        <v>258</v>
      </c>
      <c r="C82" s="919"/>
      <c r="D82" s="919"/>
      <c r="E82" s="919"/>
      <c r="F82" s="919"/>
      <c r="G82" s="919"/>
      <c r="H82" s="250"/>
      <c r="I82" s="250"/>
      <c r="J82" s="250"/>
      <c r="K82" s="251"/>
    </row>
    <row r="83" spans="2:11" ht="20.25" customHeight="1" x14ac:dyDescent="0.3">
      <c r="B83" s="929" t="s">
        <v>338</v>
      </c>
      <c r="C83" s="930"/>
      <c r="D83" s="930"/>
      <c r="E83" s="930"/>
      <c r="F83" s="930"/>
      <c r="G83" s="930"/>
      <c r="H83" s="930"/>
      <c r="I83" s="250"/>
      <c r="J83" s="250"/>
      <c r="K83" s="251"/>
    </row>
    <row r="84" spans="2:11" ht="15" customHeight="1" x14ac:dyDescent="0.3">
      <c r="B84" s="360"/>
      <c r="C84" s="361"/>
      <c r="D84" s="361"/>
      <c r="E84" s="361"/>
      <c r="F84" s="361"/>
      <c r="G84" s="361"/>
      <c r="H84" s="269"/>
      <c r="I84" s="269"/>
      <c r="J84" s="269"/>
      <c r="K84" s="270"/>
    </row>
    <row r="85" spans="2:11" ht="15" customHeight="1" x14ac:dyDescent="0.3">
      <c r="B85" s="924" t="s">
        <v>385</v>
      </c>
      <c r="C85" s="925"/>
      <c r="D85" s="925"/>
      <c r="E85" s="925"/>
      <c r="F85" s="925"/>
      <c r="G85" s="925"/>
      <c r="H85" s="925"/>
      <c r="I85" s="925"/>
      <c r="J85" s="925"/>
      <c r="K85" s="926"/>
    </row>
    <row r="86" spans="2:11" ht="15" customHeight="1" x14ac:dyDescent="0.3">
      <c r="B86" s="924"/>
      <c r="C86" s="925"/>
      <c r="D86" s="925"/>
      <c r="E86" s="925"/>
      <c r="F86" s="925"/>
      <c r="G86" s="925"/>
      <c r="H86" s="925"/>
      <c r="I86" s="925"/>
      <c r="J86" s="925"/>
      <c r="K86" s="926"/>
    </row>
    <row r="87" spans="2:11" ht="30.75" customHeight="1" x14ac:dyDescent="0.3">
      <c r="B87" s="907" t="s">
        <v>149</v>
      </c>
      <c r="C87" s="908"/>
      <c r="D87" s="908"/>
      <c r="E87" s="908"/>
      <c r="F87" s="908"/>
      <c r="G87" s="908"/>
      <c r="H87" s="908"/>
      <c r="I87" s="908"/>
      <c r="J87" s="908"/>
      <c r="K87" s="909"/>
    </row>
    <row r="88" spans="2:11" ht="4.5" customHeight="1" thickBot="1" x14ac:dyDescent="0.35">
      <c r="B88" s="280"/>
      <c r="C88" s="281"/>
      <c r="D88" s="281"/>
      <c r="E88" s="281"/>
      <c r="F88" s="281"/>
      <c r="G88" s="281"/>
      <c r="H88" s="282"/>
      <c r="I88" s="282"/>
      <c r="J88" s="282"/>
      <c r="K88" s="283"/>
    </row>
    <row r="89" spans="2:11" ht="7.5" customHeight="1" x14ac:dyDescent="0.3"/>
  </sheetData>
  <sheetProtection algorithmName="SHA-512" hashValue="+z67QQNEuhgF8s4f2yrAFGp0K4k3RJu4d0+RSUUQ/tyGjv07arq5JfSS5jOY46FyLg54ETxx8a0r7KBw9s+84Q==" saltValue="U90xeFPuga01UCXnOAxuBg==" spinCount="100000" sheet="1" objects="1" scenarios="1"/>
  <mergeCells count="15">
    <mergeCell ref="B4:I5"/>
    <mergeCell ref="J4:K5"/>
    <mergeCell ref="B87:K87"/>
    <mergeCell ref="B2:K2"/>
    <mergeCell ref="B62:K63"/>
    <mergeCell ref="B64:K65"/>
    <mergeCell ref="B68:K69"/>
    <mergeCell ref="B74:K74"/>
    <mergeCell ref="B82:G82"/>
    <mergeCell ref="B80:K80"/>
    <mergeCell ref="B85:K86"/>
    <mergeCell ref="B7:H7"/>
    <mergeCell ref="B23:H23"/>
    <mergeCell ref="B81:C81"/>
    <mergeCell ref="B83:H83"/>
  </mergeCells>
  <pageMargins left="0.7" right="0.7" top="0.75" bottom="0.75" header="0.3" footer="0.3"/>
  <pageSetup paperSize="9" scale="6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AX123"/>
  <sheetViews>
    <sheetView showGridLines="0" topLeftCell="I19" zoomScaleNormal="100" workbookViewId="0">
      <selection activeCell="J10" sqref="J10"/>
    </sheetView>
  </sheetViews>
  <sheetFormatPr defaultColWidth="9.109375" defaultRowHeight="14.4" x14ac:dyDescent="0.3"/>
  <cols>
    <col min="1" max="2" width="9.109375" style="3"/>
    <col min="3" max="3" width="11.5546875" style="1" customWidth="1"/>
    <col min="4" max="4" width="37.6640625" style="3" bestFit="1" customWidth="1"/>
    <col min="5" max="5" width="21.6640625" style="3" customWidth="1"/>
    <col min="6" max="6" width="62.33203125" style="3" customWidth="1"/>
    <col min="7" max="29" width="13.5546875" style="3" customWidth="1"/>
    <col min="30" max="31" width="13.5546875" style="4" customWidth="1"/>
    <col min="32" max="34" width="13.5546875" style="3" customWidth="1"/>
    <col min="35" max="35" width="17.109375" style="3" customWidth="1"/>
    <col min="36" max="38" width="13.5546875" style="3" customWidth="1"/>
    <col min="39" max="39" width="25.6640625" style="3" customWidth="1"/>
    <col min="40" max="43" width="18.5546875" style="3" customWidth="1"/>
    <col min="44" max="47" width="11.33203125" style="3" customWidth="1"/>
    <col min="48" max="16384" width="9.109375" style="3"/>
  </cols>
  <sheetData>
    <row r="1" spans="2:50" ht="15.75" thickBot="1" x14ac:dyDescent="0.3"/>
    <row r="2" spans="2:50" ht="15" x14ac:dyDescent="0.25">
      <c r="B2" s="55"/>
      <c r="C2" s="5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57"/>
      <c r="AE2" s="57"/>
      <c r="AF2" s="7"/>
      <c r="AG2" s="7"/>
      <c r="AH2" s="7"/>
      <c r="AI2" s="7"/>
      <c r="AJ2" s="7"/>
      <c r="AK2" s="7"/>
      <c r="AL2" s="8"/>
    </row>
    <row r="3" spans="2:50" ht="21" x14ac:dyDescent="0.25">
      <c r="B3" s="15"/>
      <c r="C3" s="937" t="s">
        <v>33</v>
      </c>
      <c r="D3" s="937"/>
      <c r="E3" s="937"/>
      <c r="F3" s="344"/>
      <c r="G3" s="344"/>
      <c r="H3" s="366"/>
      <c r="I3" s="344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L3" s="12"/>
    </row>
    <row r="4" spans="2:50" ht="50.25" customHeight="1" x14ac:dyDescent="0.3">
      <c r="B4" s="15"/>
      <c r="C4" s="985" t="s">
        <v>264</v>
      </c>
      <c r="D4" s="985"/>
      <c r="E4" s="985"/>
      <c r="F4" s="985"/>
      <c r="G4" s="985"/>
      <c r="H4" s="985"/>
      <c r="I4" s="985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592"/>
      <c r="X4" s="11"/>
      <c r="Y4" s="11"/>
      <c r="Z4" s="11"/>
      <c r="AA4" s="11"/>
      <c r="AB4" s="11"/>
      <c r="AC4" s="11"/>
      <c r="AD4" s="36"/>
      <c r="AE4" s="36"/>
      <c r="AF4" s="11"/>
      <c r="AG4" s="11"/>
      <c r="AH4" s="11"/>
      <c r="AI4" s="11"/>
      <c r="AL4" s="12"/>
    </row>
    <row r="5" spans="2:50" ht="38.25" customHeight="1" thickBot="1" x14ac:dyDescent="0.35">
      <c r="B5" s="15"/>
      <c r="C5" s="986" t="s">
        <v>35</v>
      </c>
      <c r="D5" s="986"/>
      <c r="E5" s="986"/>
      <c r="F5" s="345"/>
      <c r="G5" s="345"/>
      <c r="H5" s="367"/>
      <c r="I5" s="345"/>
      <c r="J5" s="11"/>
      <c r="K5" s="11"/>
      <c r="L5" s="11"/>
      <c r="M5" s="11"/>
      <c r="N5" s="11"/>
      <c r="O5" s="11"/>
      <c r="P5" s="11"/>
      <c r="AL5" s="12"/>
      <c r="AM5" s="11"/>
      <c r="AN5" s="11"/>
      <c r="AO5" s="11"/>
      <c r="AP5" s="11"/>
      <c r="AQ5" s="11"/>
    </row>
    <row r="6" spans="2:50" s="63" customFormat="1" ht="15" customHeight="1" thickBot="1" x14ac:dyDescent="0.35">
      <c r="B6" s="59"/>
      <c r="C6" s="60"/>
      <c r="D6" s="61"/>
      <c r="E6" s="61"/>
      <c r="F6" s="61"/>
      <c r="G6" s="61"/>
      <c r="H6" s="61"/>
      <c r="I6" s="61"/>
      <c r="J6" s="1000" t="s">
        <v>12</v>
      </c>
      <c r="K6" s="1001"/>
      <c r="L6" s="1001"/>
      <c r="M6" s="1001"/>
      <c r="N6" s="1001"/>
      <c r="O6" s="1001"/>
      <c r="P6" s="1001"/>
      <c r="Q6" s="1002"/>
      <c r="R6" s="1000" t="s">
        <v>15</v>
      </c>
      <c r="S6" s="1001"/>
      <c r="T6" s="1001"/>
      <c r="U6" s="1001"/>
      <c r="V6" s="1001"/>
      <c r="W6" s="1001"/>
      <c r="X6" s="1001"/>
      <c r="Y6" s="1001"/>
      <c r="Z6" s="1001"/>
      <c r="AA6" s="1001"/>
      <c r="AB6" s="1001"/>
      <c r="AC6" s="1001"/>
      <c r="AD6" s="1001"/>
      <c r="AE6" s="1001"/>
      <c r="AF6" s="1002"/>
      <c r="AG6" s="968" t="s">
        <v>0</v>
      </c>
      <c r="AH6" s="969"/>
      <c r="AI6" s="969"/>
      <c r="AJ6" s="969"/>
      <c r="AK6" s="970"/>
      <c r="AL6" s="62"/>
      <c r="AM6" s="61"/>
      <c r="AN6" s="61"/>
      <c r="AO6" s="61"/>
      <c r="AP6" s="61"/>
      <c r="AQ6" s="61"/>
    </row>
    <row r="7" spans="2:50" s="76" customFormat="1" ht="51.75" customHeight="1" thickBot="1" x14ac:dyDescent="0.35">
      <c r="B7" s="64"/>
      <c r="C7" s="65"/>
      <c r="D7" s="66"/>
      <c r="E7" s="66"/>
      <c r="F7" s="66"/>
      <c r="G7" s="67" t="s">
        <v>232</v>
      </c>
      <c r="H7" s="245" t="s">
        <v>319</v>
      </c>
      <c r="I7" s="68" t="s">
        <v>14</v>
      </c>
      <c r="J7" s="979" t="s">
        <v>470</v>
      </c>
      <c r="K7" s="980"/>
      <c r="L7" s="980"/>
      <c r="M7" s="980"/>
      <c r="N7" s="980"/>
      <c r="O7" s="980"/>
      <c r="P7" s="343" t="s">
        <v>207</v>
      </c>
      <c r="Q7" s="797" t="s">
        <v>175</v>
      </c>
      <c r="R7" s="979" t="s">
        <v>180</v>
      </c>
      <c r="S7" s="980"/>
      <c r="T7" s="980"/>
      <c r="U7" s="980"/>
      <c r="V7" s="980"/>
      <c r="W7" s="980"/>
      <c r="X7" s="797" t="s">
        <v>118</v>
      </c>
      <c r="Y7" s="612" t="s">
        <v>2</v>
      </c>
      <c r="Z7" s="981" t="s">
        <v>3</v>
      </c>
      <c r="AA7" s="981"/>
      <c r="AB7" s="612" t="s">
        <v>182</v>
      </c>
      <c r="AC7" s="71" t="s">
        <v>183</v>
      </c>
      <c r="AD7" s="72" t="s">
        <v>119</v>
      </c>
      <c r="AE7" s="73" t="s">
        <v>187</v>
      </c>
      <c r="AF7" s="795" t="s">
        <v>188</v>
      </c>
      <c r="AG7" s="75" t="s">
        <v>194</v>
      </c>
      <c r="AH7" s="72" t="s">
        <v>142</v>
      </c>
      <c r="AI7" s="612" t="s">
        <v>245</v>
      </c>
      <c r="AJ7" s="612" t="s">
        <v>50</v>
      </c>
      <c r="AK7" s="795" t="s">
        <v>1</v>
      </c>
      <c r="AL7" s="62"/>
      <c r="AS7" s="66"/>
      <c r="AT7" s="66"/>
      <c r="AU7" s="66"/>
      <c r="AV7" s="66"/>
      <c r="AW7" s="66"/>
      <c r="AX7" s="66"/>
    </row>
    <row r="8" spans="2:50" s="76" customFormat="1" ht="63" customHeight="1" x14ac:dyDescent="0.3">
      <c r="B8" s="64"/>
      <c r="C8" s="77" t="s">
        <v>10</v>
      </c>
      <c r="D8" s="78" t="s">
        <v>11</v>
      </c>
      <c r="E8" s="776"/>
      <c r="F8" s="78" t="s">
        <v>37</v>
      </c>
      <c r="G8" s="80" t="s">
        <v>302</v>
      </c>
      <c r="H8" s="84" t="s">
        <v>320</v>
      </c>
      <c r="I8" s="613" t="s">
        <v>131</v>
      </c>
      <c r="J8" s="777" t="str">
        <f>'1. Identificação Ben. Oper.'!D50</f>
        <v>Energia Elétrica</v>
      </c>
      <c r="K8" s="1116"/>
      <c r="L8" s="1117"/>
      <c r="M8" s="1117"/>
      <c r="N8" s="1118"/>
      <c r="O8" s="82" t="s">
        <v>85</v>
      </c>
      <c r="P8" s="82" t="s">
        <v>4</v>
      </c>
      <c r="Q8" s="82" t="s">
        <v>5</v>
      </c>
      <c r="R8" s="81" t="str">
        <f t="shared" ref="R8:W8" si="0">+J8</f>
        <v>Energia Elétrica</v>
      </c>
      <c r="S8" s="1070"/>
      <c r="T8" s="1071"/>
      <c r="U8" s="1071"/>
      <c r="V8" s="1072"/>
      <c r="W8" s="82" t="str">
        <f t="shared" si="0"/>
        <v>Total</v>
      </c>
      <c r="X8" s="82" t="s">
        <v>5</v>
      </c>
      <c r="Y8" s="82" t="s">
        <v>6</v>
      </c>
      <c r="Z8" s="82" t="s">
        <v>181</v>
      </c>
      <c r="AA8" s="82" t="s">
        <v>4</v>
      </c>
      <c r="AB8" s="82" t="s">
        <v>7</v>
      </c>
      <c r="AC8" s="80" t="s">
        <v>5</v>
      </c>
      <c r="AD8" s="80" t="s">
        <v>116</v>
      </c>
      <c r="AE8" s="84" t="s">
        <v>186</v>
      </c>
      <c r="AF8" s="747" t="s">
        <v>120</v>
      </c>
      <c r="AG8" s="86" t="s">
        <v>116</v>
      </c>
      <c r="AH8" s="87" t="s">
        <v>116</v>
      </c>
      <c r="AI8" s="82" t="s">
        <v>116</v>
      </c>
      <c r="AJ8" s="82" t="s">
        <v>116</v>
      </c>
      <c r="AK8" s="747" t="s">
        <v>131</v>
      </c>
      <c r="AL8" s="62"/>
      <c r="AS8" s="66"/>
      <c r="AT8" s="37"/>
      <c r="AU8" s="66"/>
      <c r="AV8" s="66"/>
      <c r="AW8" s="66"/>
      <c r="AX8" s="66"/>
    </row>
    <row r="9" spans="2:50" s="76" customFormat="1" ht="36.75" customHeight="1" x14ac:dyDescent="0.3">
      <c r="B9" s="64"/>
      <c r="C9" s="989" t="s">
        <v>48</v>
      </c>
      <c r="D9" s="990"/>
      <c r="E9" s="88"/>
      <c r="F9" s="88"/>
      <c r="G9" s="88"/>
      <c r="H9" s="88"/>
      <c r="I9" s="88"/>
      <c r="J9" s="89"/>
      <c r="K9" s="88"/>
      <c r="L9" s="88"/>
      <c r="M9" s="88"/>
      <c r="N9" s="88"/>
      <c r="O9" s="88"/>
      <c r="P9" s="88"/>
      <c r="Q9" s="90"/>
      <c r="R9" s="89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90"/>
      <c r="AG9" s="89"/>
      <c r="AH9" s="88"/>
      <c r="AI9" s="88"/>
      <c r="AJ9" s="88"/>
      <c r="AK9" s="90"/>
      <c r="AL9" s="62"/>
      <c r="AS9" s="39"/>
      <c r="AT9" s="37"/>
      <c r="AU9" s="66"/>
      <c r="AV9" s="66"/>
      <c r="AW9" s="66"/>
      <c r="AX9" s="66"/>
    </row>
    <row r="10" spans="2:50" ht="30" customHeight="1" x14ac:dyDescent="0.3">
      <c r="B10" s="15"/>
      <c r="C10" s="91">
        <v>1</v>
      </c>
      <c r="D10" s="633"/>
      <c r="E10" s="1094"/>
      <c r="F10" s="648"/>
      <c r="G10" s="627"/>
      <c r="H10" s="658"/>
      <c r="I10" s="92" t="str">
        <f>IF(F10="","",VLOOKUP(F10,'15. Valores-Padrão'!$C$33:$F$40,4,FALSE))</f>
        <v/>
      </c>
      <c r="J10" s="635"/>
      <c r="K10" s="1097"/>
      <c r="L10" s="1098"/>
      <c r="M10" s="1098"/>
      <c r="N10" s="1099"/>
      <c r="O10" s="93">
        <f>J10</f>
        <v>0</v>
      </c>
      <c r="P10" s="94">
        <f>+VLOOKUP($J$8,'16. Fatores de conversão'!$A$6:$I$14,6,FALSE)*O10</f>
        <v>0</v>
      </c>
      <c r="Q10" s="603">
        <f>IF(F10="",0,'1. Identificação Ben. Oper.'!$D$110*J10)</f>
        <v>0</v>
      </c>
      <c r="R10" s="636"/>
      <c r="S10" s="1052"/>
      <c r="T10" s="1053"/>
      <c r="U10" s="1053"/>
      <c r="V10" s="1054"/>
      <c r="W10" s="93">
        <f>R10</f>
        <v>0</v>
      </c>
      <c r="X10" s="603">
        <f>'1. Identificação Ben. Oper.'!$D$110*'9. Medidas c)'!R10</f>
        <v>0</v>
      </c>
      <c r="Y10" s="604">
        <f>IF(O10=0,0,W10/O10)</f>
        <v>0</v>
      </c>
      <c r="Z10" s="94" t="str">
        <f>IF(R10="","",VLOOKUP($R$8,'16. Fatores de conversão'!$A$6:$I$14,3,FALSE)*R10)</f>
        <v/>
      </c>
      <c r="AA10" s="94">
        <f>IF($R$8="","",VLOOKUP($R$8,'16. Fatores de conversão'!$A$6:$J$12,6,FALSE)*R10)</f>
        <v>0</v>
      </c>
      <c r="AB10" s="94">
        <f>IF($R$8="","",(VLOOKUP($R$8,'16. Fatores de conversão'!$A$6:$I$12,9,FALSE)*R10)/1000)</f>
        <v>0</v>
      </c>
      <c r="AC10" s="630"/>
      <c r="AD10" s="630"/>
      <c r="AE10" s="638"/>
      <c r="AF10" s="796">
        <f>IF(OR(AD10="",AD10=0),0,IF(OR(AE10="",AE10=0),0,I10+1))</f>
        <v>0</v>
      </c>
      <c r="AG10" s="640"/>
      <c r="AH10" s="630"/>
      <c r="AI10" s="603" t="str">
        <f>IF(F10="","",VLOOKUP(F10,'15. Valores-Padrão'!$C$33:$E$40,3,FALSE)*H10)</f>
        <v/>
      </c>
      <c r="AJ10" s="603">
        <f>IF(AG10=0,0,IF(AG10&lt;(AI10),AG10+AH10,((AI10)+((AH10/AG10)*AI10))))</f>
        <v>0</v>
      </c>
      <c r="AK10" s="788">
        <f>IF(X10=0,0,(AG10+AH10)/X10)</f>
        <v>0</v>
      </c>
      <c r="AL10" s="12"/>
      <c r="AS10" s="11"/>
      <c r="AT10" s="37"/>
      <c r="AU10" s="66"/>
      <c r="AV10" s="66"/>
      <c r="AW10" s="66"/>
      <c r="AX10" s="11"/>
    </row>
    <row r="11" spans="2:50" ht="30" customHeight="1" x14ac:dyDescent="0.3">
      <c r="B11" s="15"/>
      <c r="C11" s="91">
        <v>2</v>
      </c>
      <c r="D11" s="633"/>
      <c r="E11" s="1095"/>
      <c r="F11" s="648"/>
      <c r="G11" s="627"/>
      <c r="H11" s="658"/>
      <c r="I11" s="92" t="str">
        <f>IF(F11="","",VLOOKUP(F11,'15. Valores-Padrão'!$C$33:$F$40,4,FALSE))</f>
        <v/>
      </c>
      <c r="J11" s="635"/>
      <c r="K11" s="1100"/>
      <c r="L11" s="1101"/>
      <c r="M11" s="1101"/>
      <c r="N11" s="1102"/>
      <c r="O11" s="93">
        <f t="shared" ref="O11:O19" si="1">J11</f>
        <v>0</v>
      </c>
      <c r="P11" s="94">
        <f>+VLOOKUP($J$8,'16. Fatores de conversão'!$A$6:$I$14,6,FALSE)*O11</f>
        <v>0</v>
      </c>
      <c r="Q11" s="603">
        <f>IF(F11="",0,'1. Identificação Ben. Oper.'!$D$110*J11)</f>
        <v>0</v>
      </c>
      <c r="R11" s="636"/>
      <c r="S11" s="1055"/>
      <c r="T11" s="1056"/>
      <c r="U11" s="1056"/>
      <c r="V11" s="1057"/>
      <c r="W11" s="93">
        <f t="shared" ref="W11:W19" si="2">R11</f>
        <v>0</v>
      </c>
      <c r="X11" s="603">
        <f>'1. Identificação Ben. Oper.'!$D$110*'9. Medidas c)'!R11</f>
        <v>0</v>
      </c>
      <c r="Y11" s="604">
        <f>IF(O11=0,0,W11/O11)</f>
        <v>0</v>
      </c>
      <c r="Z11" s="94" t="str">
        <f>IF(R11="","",VLOOKUP($R$8,'16. Fatores de conversão'!$A$6:$I$14,3,FALSE)*R11)</f>
        <v/>
      </c>
      <c r="AA11" s="94">
        <f>IF($R$8="","",VLOOKUP($R$8,'16. Fatores de conversão'!$A$6:$J$12,6,FALSE)*R11)</f>
        <v>0</v>
      </c>
      <c r="AB11" s="94">
        <f>IF($R$8="","",(VLOOKUP($R$8,'16. Fatores de conversão'!$A$6:$I$12,9,FALSE)*R11)/1000)</f>
        <v>0</v>
      </c>
      <c r="AC11" s="630"/>
      <c r="AD11" s="630"/>
      <c r="AE11" s="638"/>
      <c r="AF11" s="796">
        <f>IF(OR(AD11="",AD11=0),0,IF(OR(AE11="",AE11=0),0,I11+1))</f>
        <v>0</v>
      </c>
      <c r="AG11" s="640"/>
      <c r="AH11" s="630"/>
      <c r="AI11" s="603" t="str">
        <f>IF(F11="","",VLOOKUP(F11,'15. Valores-Padrão'!$C$33:$E$40,3,FALSE)*H11)</f>
        <v/>
      </c>
      <c r="AJ11" s="603">
        <f t="shared" ref="AJ11:AJ25" si="3">IF(AG11=0,0,IF(AG11&lt;(AI11),AG11+AH11,((AI11)+((AH11/AG11)*AI11))))</f>
        <v>0</v>
      </c>
      <c r="AK11" s="788">
        <f t="shared" ref="AK11:AK26" si="4">IF(X11=0,0,(AG11+AH11)/X11)</f>
        <v>0</v>
      </c>
      <c r="AL11" s="12"/>
      <c r="AS11" s="11"/>
      <c r="AT11" s="37"/>
      <c r="AU11" s="66"/>
      <c r="AV11" s="66"/>
      <c r="AW11" s="66"/>
      <c r="AX11" s="11"/>
    </row>
    <row r="12" spans="2:50" ht="30" customHeight="1" x14ac:dyDescent="0.3">
      <c r="B12" s="15"/>
      <c r="C12" s="91">
        <v>3</v>
      </c>
      <c r="D12" s="633"/>
      <c r="E12" s="1095"/>
      <c r="F12" s="648"/>
      <c r="G12" s="627"/>
      <c r="H12" s="658"/>
      <c r="I12" s="92" t="str">
        <f>IF(F12="","",VLOOKUP(F12,'15. Valores-Padrão'!$C$33:$F$40,4,FALSE))</f>
        <v/>
      </c>
      <c r="J12" s="635"/>
      <c r="K12" s="1100"/>
      <c r="L12" s="1101"/>
      <c r="M12" s="1101"/>
      <c r="N12" s="1102"/>
      <c r="O12" s="93">
        <f t="shared" si="1"/>
        <v>0</v>
      </c>
      <c r="P12" s="94">
        <f>+VLOOKUP($J$8,'16. Fatores de conversão'!$A$6:$I$14,6,FALSE)*O12</f>
        <v>0</v>
      </c>
      <c r="Q12" s="603">
        <f>IF(F12="",0,'1. Identificação Ben. Oper.'!$D$110*J12)</f>
        <v>0</v>
      </c>
      <c r="R12" s="636"/>
      <c r="S12" s="1055"/>
      <c r="T12" s="1056"/>
      <c r="U12" s="1056"/>
      <c r="V12" s="1057"/>
      <c r="W12" s="93">
        <f t="shared" si="2"/>
        <v>0</v>
      </c>
      <c r="X12" s="603">
        <f>'1. Identificação Ben. Oper.'!$D$110*'9. Medidas c)'!R12</f>
        <v>0</v>
      </c>
      <c r="Y12" s="604">
        <f>IF(O12=0,0,W12/O12)</f>
        <v>0</v>
      </c>
      <c r="Z12" s="94" t="str">
        <f>IF(R12="","",VLOOKUP($R$8,'16. Fatores de conversão'!$A$6:$I$14,3,FALSE)*R12)</f>
        <v/>
      </c>
      <c r="AA12" s="94">
        <f>IF($R$8="","",VLOOKUP($R$8,'16. Fatores de conversão'!$A$6:$J$12,6,FALSE)*R12)</f>
        <v>0</v>
      </c>
      <c r="AB12" s="94">
        <f>IF($R$8="","",(VLOOKUP($R$8,'16. Fatores de conversão'!$A$6:$I$12,9,FALSE)*R12)/1000)</f>
        <v>0</v>
      </c>
      <c r="AC12" s="630"/>
      <c r="AD12" s="630"/>
      <c r="AE12" s="638"/>
      <c r="AF12" s="796">
        <f>IF(OR(AD12="",AD12=0),0,IF(OR(AE12="",AE12=0),0,I12+1))</f>
        <v>0</v>
      </c>
      <c r="AG12" s="640"/>
      <c r="AH12" s="630"/>
      <c r="AI12" s="603" t="str">
        <f>IF(F12="","",VLOOKUP(F12,'15. Valores-Padrão'!$C$33:$E$40,3,FALSE)*H12)</f>
        <v/>
      </c>
      <c r="AJ12" s="603">
        <f t="shared" si="3"/>
        <v>0</v>
      </c>
      <c r="AK12" s="788">
        <f t="shared" si="4"/>
        <v>0</v>
      </c>
      <c r="AL12" s="12"/>
      <c r="AS12" s="11"/>
      <c r="AT12" s="37"/>
      <c r="AU12" s="66"/>
      <c r="AV12" s="66"/>
      <c r="AW12" s="66"/>
      <c r="AX12" s="11"/>
    </row>
    <row r="13" spans="2:50" ht="30" customHeight="1" x14ac:dyDescent="0.3">
      <c r="B13" s="15"/>
      <c r="C13" s="91">
        <v>4</v>
      </c>
      <c r="D13" s="633"/>
      <c r="E13" s="1095"/>
      <c r="F13" s="648"/>
      <c r="G13" s="627"/>
      <c r="H13" s="658"/>
      <c r="I13" s="92" t="str">
        <f>IF(F13="","",VLOOKUP(F13,'15. Valores-Padrão'!$C$33:$F$40,4,FALSE))</f>
        <v/>
      </c>
      <c r="J13" s="635"/>
      <c r="K13" s="1100"/>
      <c r="L13" s="1101"/>
      <c r="M13" s="1101"/>
      <c r="N13" s="1102"/>
      <c r="O13" s="93">
        <f t="shared" si="1"/>
        <v>0</v>
      </c>
      <c r="P13" s="94">
        <f>+VLOOKUP($J$8,'16. Fatores de conversão'!$A$6:$I$14,6,FALSE)*O13</f>
        <v>0</v>
      </c>
      <c r="Q13" s="603">
        <f>IF(F13="",0,'1. Identificação Ben. Oper.'!$D$110*J13)</f>
        <v>0</v>
      </c>
      <c r="R13" s="636"/>
      <c r="S13" s="1055"/>
      <c r="T13" s="1056"/>
      <c r="U13" s="1056"/>
      <c r="V13" s="1057"/>
      <c r="W13" s="93">
        <f t="shared" si="2"/>
        <v>0</v>
      </c>
      <c r="X13" s="603">
        <f>'1. Identificação Ben. Oper.'!$D$110*'9. Medidas c)'!R13</f>
        <v>0</v>
      </c>
      <c r="Y13" s="604">
        <f>IF(O13=0,0,W13/O13)</f>
        <v>0</v>
      </c>
      <c r="Z13" s="94" t="str">
        <f>IF(R13="","",VLOOKUP($R$8,'16. Fatores de conversão'!$A$6:$I$14,3,FALSE)*R13)</f>
        <v/>
      </c>
      <c r="AA13" s="94">
        <f>IF($R$8="","",VLOOKUP($R$8,'16. Fatores de conversão'!$A$6:$J$12,6,FALSE)*R13)</f>
        <v>0</v>
      </c>
      <c r="AB13" s="94">
        <f>IF($R$8="","",(VLOOKUP($R$8,'16. Fatores de conversão'!$A$6:$I$12,9,FALSE)*R13)/1000)</f>
        <v>0</v>
      </c>
      <c r="AC13" s="630"/>
      <c r="AD13" s="630"/>
      <c r="AE13" s="638"/>
      <c r="AF13" s="796">
        <f>IF(OR(AD13="",AD13=0),0,IF(OR(AE13="",AE13=0),0,I13+1))</f>
        <v>0</v>
      </c>
      <c r="AG13" s="640"/>
      <c r="AH13" s="630"/>
      <c r="AI13" s="603" t="str">
        <f>IF(F13="","",VLOOKUP(F13,'15. Valores-Padrão'!$C$33:$E$40,3,FALSE)*H13)</f>
        <v/>
      </c>
      <c r="AJ13" s="603">
        <f t="shared" si="3"/>
        <v>0</v>
      </c>
      <c r="AK13" s="788">
        <f t="shared" si="4"/>
        <v>0</v>
      </c>
      <c r="AL13" s="12"/>
      <c r="AS13" s="11"/>
      <c r="AT13" s="95"/>
      <c r="AU13" s="66"/>
      <c r="AV13" s="66"/>
      <c r="AW13" s="66"/>
      <c r="AX13" s="11"/>
    </row>
    <row r="14" spans="2:50" ht="30" customHeight="1" x14ac:dyDescent="0.3">
      <c r="B14" s="15"/>
      <c r="C14" s="91">
        <v>5</v>
      </c>
      <c r="D14" s="633"/>
      <c r="E14" s="1095"/>
      <c r="F14" s="648"/>
      <c r="G14" s="627"/>
      <c r="H14" s="658"/>
      <c r="I14" s="92" t="str">
        <f>IF(F14="","",VLOOKUP(F14,'15. Valores-Padrão'!$C$33:$F$40,4,FALSE))</f>
        <v/>
      </c>
      <c r="J14" s="635"/>
      <c r="K14" s="1100"/>
      <c r="L14" s="1101"/>
      <c r="M14" s="1101"/>
      <c r="N14" s="1102"/>
      <c r="O14" s="93">
        <f t="shared" ref="O14:O18" si="5">J14</f>
        <v>0</v>
      </c>
      <c r="P14" s="94">
        <f>+VLOOKUP($J$8,'16. Fatores de conversão'!$A$6:$I$14,6,FALSE)*O14</f>
        <v>0</v>
      </c>
      <c r="Q14" s="603">
        <f>IF(F14="",0,'1. Identificação Ben. Oper.'!$D$110*J14)</f>
        <v>0</v>
      </c>
      <c r="R14" s="636"/>
      <c r="S14" s="1055"/>
      <c r="T14" s="1056"/>
      <c r="U14" s="1056"/>
      <c r="V14" s="1057"/>
      <c r="W14" s="93">
        <f t="shared" ref="W14:W18" si="6">R14</f>
        <v>0</v>
      </c>
      <c r="X14" s="603">
        <f>'1. Identificação Ben. Oper.'!$D$110*'9. Medidas c)'!R14</f>
        <v>0</v>
      </c>
      <c r="Y14" s="604">
        <f t="shared" ref="Y14:Y18" si="7">IF(O14=0,0,W14/O14)</f>
        <v>0</v>
      </c>
      <c r="Z14" s="94" t="str">
        <f>IF(R14="","",VLOOKUP($R$8,'16. Fatores de conversão'!$A$6:$I$14,3,FALSE)*R14)</f>
        <v/>
      </c>
      <c r="AA14" s="94">
        <f>IF($R$8="","",VLOOKUP($R$8,'16. Fatores de conversão'!$A$6:$J$12,6,FALSE)*R14)</f>
        <v>0</v>
      </c>
      <c r="AB14" s="94">
        <f>IF($R$8="","",(VLOOKUP($R$8,'16. Fatores de conversão'!$A$6:$I$12,9,FALSE)*R14)/1000)</f>
        <v>0</v>
      </c>
      <c r="AC14" s="630"/>
      <c r="AD14" s="630"/>
      <c r="AE14" s="638"/>
      <c r="AF14" s="796">
        <f t="shared" ref="AF14:AF18" si="8">IF(OR(AD14="",AD14=0),0,IF(OR(AE14="",AE14=0),0,I14+1))</f>
        <v>0</v>
      </c>
      <c r="AG14" s="640"/>
      <c r="AH14" s="630"/>
      <c r="AI14" s="603" t="str">
        <f>IF(F14="","",VLOOKUP(F14,'15. Valores-Padrão'!$C$33:$E$40,3,FALSE)*H14)</f>
        <v/>
      </c>
      <c r="AJ14" s="603">
        <f t="shared" ref="AJ14:AJ18" si="9">IF(AG14=0,0,IF(AG14&lt;(AI14),AG14+AH14,((AI14)+((AH14/AG14)*AI14))))</f>
        <v>0</v>
      </c>
      <c r="AK14" s="788">
        <f t="shared" ref="AK14:AK18" si="10">IF(X14=0,0,(AG14+AH14)/X14)</f>
        <v>0</v>
      </c>
      <c r="AL14" s="12"/>
      <c r="AS14" s="11"/>
      <c r="AT14" s="95"/>
      <c r="AU14" s="66"/>
      <c r="AV14" s="66"/>
      <c r="AW14" s="66"/>
      <c r="AX14" s="11"/>
    </row>
    <row r="15" spans="2:50" ht="30" customHeight="1" x14ac:dyDescent="0.3">
      <c r="B15" s="15"/>
      <c r="C15" s="91">
        <v>6</v>
      </c>
      <c r="D15" s="633"/>
      <c r="E15" s="1095"/>
      <c r="F15" s="648"/>
      <c r="G15" s="627"/>
      <c r="H15" s="658"/>
      <c r="I15" s="92" t="str">
        <f>IF(F15="","",VLOOKUP(F15,'15. Valores-Padrão'!$C$33:$F$40,4,FALSE))</f>
        <v/>
      </c>
      <c r="J15" s="635"/>
      <c r="K15" s="1100"/>
      <c r="L15" s="1101"/>
      <c r="M15" s="1101"/>
      <c r="N15" s="1102"/>
      <c r="O15" s="93">
        <f t="shared" si="5"/>
        <v>0</v>
      </c>
      <c r="P15" s="94">
        <f>+VLOOKUP($J$8,'16. Fatores de conversão'!$A$6:$I$14,6,FALSE)*O15</f>
        <v>0</v>
      </c>
      <c r="Q15" s="603">
        <f>IF(F15="",0,'1. Identificação Ben. Oper.'!$D$110*J15)</f>
        <v>0</v>
      </c>
      <c r="R15" s="636"/>
      <c r="S15" s="1055"/>
      <c r="T15" s="1056"/>
      <c r="U15" s="1056"/>
      <c r="V15" s="1057"/>
      <c r="W15" s="93">
        <f t="shared" si="6"/>
        <v>0</v>
      </c>
      <c r="X15" s="603">
        <f>'1. Identificação Ben. Oper.'!$D$110*'9. Medidas c)'!R15</f>
        <v>0</v>
      </c>
      <c r="Y15" s="604">
        <f t="shared" si="7"/>
        <v>0</v>
      </c>
      <c r="Z15" s="94" t="str">
        <f>IF(R15="","",VLOOKUP($R$8,'16. Fatores de conversão'!$A$6:$I$14,3,FALSE)*R15)</f>
        <v/>
      </c>
      <c r="AA15" s="94">
        <f>IF($R$8="","",VLOOKUP($R$8,'16. Fatores de conversão'!$A$6:$J$12,6,FALSE)*R15)</f>
        <v>0</v>
      </c>
      <c r="AB15" s="94">
        <f>IF($R$8="","",(VLOOKUP($R$8,'16. Fatores de conversão'!$A$6:$I$12,9,FALSE)*R15)/1000)</f>
        <v>0</v>
      </c>
      <c r="AC15" s="630"/>
      <c r="AD15" s="630"/>
      <c r="AE15" s="638"/>
      <c r="AF15" s="796">
        <f t="shared" si="8"/>
        <v>0</v>
      </c>
      <c r="AG15" s="640"/>
      <c r="AH15" s="630"/>
      <c r="AI15" s="603" t="str">
        <f>IF(F15="","",VLOOKUP(F15,'15. Valores-Padrão'!$C$33:$E$40,3,FALSE)*H15)</f>
        <v/>
      </c>
      <c r="AJ15" s="603">
        <f t="shared" si="9"/>
        <v>0</v>
      </c>
      <c r="AK15" s="788">
        <f t="shared" si="10"/>
        <v>0</v>
      </c>
      <c r="AL15" s="12"/>
      <c r="AS15" s="11"/>
      <c r="AT15" s="95"/>
      <c r="AU15" s="66"/>
      <c r="AV15" s="66"/>
      <c r="AW15" s="66"/>
      <c r="AX15" s="11"/>
    </row>
    <row r="16" spans="2:50" ht="30" customHeight="1" x14ac:dyDescent="0.3">
      <c r="B16" s="15"/>
      <c r="C16" s="91">
        <v>7</v>
      </c>
      <c r="D16" s="633"/>
      <c r="E16" s="1095"/>
      <c r="F16" s="648"/>
      <c r="G16" s="627"/>
      <c r="H16" s="658"/>
      <c r="I16" s="92" t="str">
        <f>IF(F16="","",VLOOKUP(F16,'15. Valores-Padrão'!$C$33:$F$40,4,FALSE))</f>
        <v/>
      </c>
      <c r="J16" s="635"/>
      <c r="K16" s="1100"/>
      <c r="L16" s="1101"/>
      <c r="M16" s="1101"/>
      <c r="N16" s="1102"/>
      <c r="O16" s="93">
        <f t="shared" si="5"/>
        <v>0</v>
      </c>
      <c r="P16" s="94">
        <f>+VLOOKUP($J$8,'16. Fatores de conversão'!$A$6:$I$14,6,FALSE)*O16</f>
        <v>0</v>
      </c>
      <c r="Q16" s="603">
        <f>IF(F16="",0,'1. Identificação Ben. Oper.'!$D$110*J16)</f>
        <v>0</v>
      </c>
      <c r="R16" s="636"/>
      <c r="S16" s="1055"/>
      <c r="T16" s="1056"/>
      <c r="U16" s="1056"/>
      <c r="V16" s="1057"/>
      <c r="W16" s="93">
        <f t="shared" si="6"/>
        <v>0</v>
      </c>
      <c r="X16" s="603">
        <f>'1. Identificação Ben. Oper.'!$D$110*'9. Medidas c)'!R16</f>
        <v>0</v>
      </c>
      <c r="Y16" s="604">
        <f t="shared" si="7"/>
        <v>0</v>
      </c>
      <c r="Z16" s="94" t="str">
        <f>IF(R16="","",VLOOKUP($R$8,'16. Fatores de conversão'!$A$6:$I$14,3,FALSE)*R16)</f>
        <v/>
      </c>
      <c r="AA16" s="94">
        <f>IF($R$8="","",VLOOKUP($R$8,'16. Fatores de conversão'!$A$6:$J$12,6,FALSE)*R16)</f>
        <v>0</v>
      </c>
      <c r="AB16" s="94">
        <f>IF($R$8="","",(VLOOKUP($R$8,'16. Fatores de conversão'!$A$6:$I$12,9,FALSE)*R16)/1000)</f>
        <v>0</v>
      </c>
      <c r="AC16" s="630"/>
      <c r="AD16" s="630"/>
      <c r="AE16" s="638"/>
      <c r="AF16" s="796">
        <f t="shared" si="8"/>
        <v>0</v>
      </c>
      <c r="AG16" s="640"/>
      <c r="AH16" s="630"/>
      <c r="AI16" s="603" t="str">
        <f>IF(F16="","",VLOOKUP(F16,'15. Valores-Padrão'!$C$33:$E$40,3,FALSE)*H16)</f>
        <v/>
      </c>
      <c r="AJ16" s="603">
        <f t="shared" si="9"/>
        <v>0</v>
      </c>
      <c r="AK16" s="788">
        <f t="shared" si="10"/>
        <v>0</v>
      </c>
      <c r="AL16" s="12"/>
      <c r="AS16" s="11"/>
      <c r="AT16" s="95"/>
      <c r="AU16" s="66"/>
      <c r="AV16" s="66"/>
      <c r="AW16" s="66"/>
      <c r="AX16" s="11"/>
    </row>
    <row r="17" spans="2:50" ht="30" customHeight="1" x14ac:dyDescent="0.3">
      <c r="B17" s="15"/>
      <c r="C17" s="91">
        <v>8</v>
      </c>
      <c r="D17" s="633"/>
      <c r="E17" s="1095"/>
      <c r="F17" s="648"/>
      <c r="G17" s="627"/>
      <c r="H17" s="658"/>
      <c r="I17" s="92" t="str">
        <f>IF(F17="","",VLOOKUP(F17,'15. Valores-Padrão'!$C$33:$F$40,4,FALSE))</f>
        <v/>
      </c>
      <c r="J17" s="635"/>
      <c r="K17" s="1100"/>
      <c r="L17" s="1101"/>
      <c r="M17" s="1101"/>
      <c r="N17" s="1102"/>
      <c r="O17" s="93">
        <f t="shared" si="5"/>
        <v>0</v>
      </c>
      <c r="P17" s="94">
        <f>+VLOOKUP($J$8,'16. Fatores de conversão'!$A$6:$I$14,6,FALSE)*O17</f>
        <v>0</v>
      </c>
      <c r="Q17" s="603">
        <f>IF(F17="",0,'1. Identificação Ben. Oper.'!$D$110*J17)</f>
        <v>0</v>
      </c>
      <c r="R17" s="636"/>
      <c r="S17" s="1055"/>
      <c r="T17" s="1056"/>
      <c r="U17" s="1056"/>
      <c r="V17" s="1057"/>
      <c r="W17" s="93">
        <f t="shared" si="6"/>
        <v>0</v>
      </c>
      <c r="X17" s="603">
        <f>'1. Identificação Ben. Oper.'!$D$110*'9. Medidas c)'!R17</f>
        <v>0</v>
      </c>
      <c r="Y17" s="604">
        <f t="shared" si="7"/>
        <v>0</v>
      </c>
      <c r="Z17" s="94" t="str">
        <f>IF(R17="","",VLOOKUP($R$8,'16. Fatores de conversão'!$A$6:$I$14,3,FALSE)*R17)</f>
        <v/>
      </c>
      <c r="AA17" s="94">
        <f>IF($R$8="","",VLOOKUP($R$8,'16. Fatores de conversão'!$A$6:$J$12,6,FALSE)*R17)</f>
        <v>0</v>
      </c>
      <c r="AB17" s="94">
        <f>IF($R$8="","",(VLOOKUP($R$8,'16. Fatores de conversão'!$A$6:$I$12,9,FALSE)*R17)/1000)</f>
        <v>0</v>
      </c>
      <c r="AC17" s="630"/>
      <c r="AD17" s="630"/>
      <c r="AE17" s="638"/>
      <c r="AF17" s="796">
        <f t="shared" si="8"/>
        <v>0</v>
      </c>
      <c r="AG17" s="640"/>
      <c r="AH17" s="630"/>
      <c r="AI17" s="603" t="str">
        <f>IF(F17="","",VLOOKUP(F17,'15. Valores-Padrão'!$C$33:$E$40,3,FALSE)*H17)</f>
        <v/>
      </c>
      <c r="AJ17" s="603">
        <f t="shared" si="9"/>
        <v>0</v>
      </c>
      <c r="AK17" s="788">
        <f t="shared" si="10"/>
        <v>0</v>
      </c>
      <c r="AL17" s="12"/>
      <c r="AS17" s="11"/>
      <c r="AT17" s="95"/>
      <c r="AU17" s="66"/>
      <c r="AV17" s="66"/>
      <c r="AW17" s="66"/>
      <c r="AX17" s="11"/>
    </row>
    <row r="18" spans="2:50" ht="30" customHeight="1" x14ac:dyDescent="0.3">
      <c r="B18" s="15"/>
      <c r="C18" s="91">
        <v>9</v>
      </c>
      <c r="D18" s="633"/>
      <c r="E18" s="1095"/>
      <c r="F18" s="648"/>
      <c r="G18" s="627"/>
      <c r="H18" s="658"/>
      <c r="I18" s="92" t="str">
        <f>IF(F18="","",VLOOKUP(F18,'15. Valores-Padrão'!$C$33:$F$40,4,FALSE))</f>
        <v/>
      </c>
      <c r="J18" s="635"/>
      <c r="K18" s="1100"/>
      <c r="L18" s="1101"/>
      <c r="M18" s="1101"/>
      <c r="N18" s="1102"/>
      <c r="O18" s="93">
        <f t="shared" si="5"/>
        <v>0</v>
      </c>
      <c r="P18" s="94">
        <f>+VLOOKUP($J$8,'16. Fatores de conversão'!$A$6:$I$14,6,FALSE)*O18</f>
        <v>0</v>
      </c>
      <c r="Q18" s="603">
        <f>IF(F18="",0,'1. Identificação Ben. Oper.'!$D$110*J18)</f>
        <v>0</v>
      </c>
      <c r="R18" s="636"/>
      <c r="S18" s="1055"/>
      <c r="T18" s="1056"/>
      <c r="U18" s="1056"/>
      <c r="V18" s="1057"/>
      <c r="W18" s="93">
        <f t="shared" si="6"/>
        <v>0</v>
      </c>
      <c r="X18" s="603">
        <f>'1. Identificação Ben. Oper.'!$D$110*'9. Medidas c)'!R18</f>
        <v>0</v>
      </c>
      <c r="Y18" s="604">
        <f t="shared" si="7"/>
        <v>0</v>
      </c>
      <c r="Z18" s="94" t="str">
        <f>IF(R18="","",VLOOKUP($R$8,'16. Fatores de conversão'!$A$6:$I$14,3,FALSE)*R18)</f>
        <v/>
      </c>
      <c r="AA18" s="94">
        <f>IF($R$8="","",VLOOKUP($R$8,'16. Fatores de conversão'!$A$6:$J$12,6,FALSE)*R18)</f>
        <v>0</v>
      </c>
      <c r="AB18" s="94">
        <f>IF($R$8="","",(VLOOKUP($R$8,'16. Fatores de conversão'!$A$6:$I$12,9,FALSE)*R18)/1000)</f>
        <v>0</v>
      </c>
      <c r="AC18" s="630"/>
      <c r="AD18" s="630"/>
      <c r="AE18" s="638"/>
      <c r="AF18" s="796">
        <f t="shared" si="8"/>
        <v>0</v>
      </c>
      <c r="AG18" s="640"/>
      <c r="AH18" s="630"/>
      <c r="AI18" s="603" t="str">
        <f>IF(F18="","",VLOOKUP(F18,'15. Valores-Padrão'!$C$33:$E$40,3,FALSE)*H18)</f>
        <v/>
      </c>
      <c r="AJ18" s="603">
        <f t="shared" si="9"/>
        <v>0</v>
      </c>
      <c r="AK18" s="788">
        <f t="shared" si="10"/>
        <v>0</v>
      </c>
      <c r="AL18" s="12"/>
      <c r="AS18" s="11"/>
      <c r="AT18" s="95"/>
      <c r="AU18" s="66"/>
      <c r="AV18" s="66"/>
      <c r="AW18" s="66"/>
      <c r="AX18" s="11"/>
    </row>
    <row r="19" spans="2:50" ht="30" customHeight="1" x14ac:dyDescent="0.3">
      <c r="B19" s="15"/>
      <c r="C19" s="91">
        <v>10</v>
      </c>
      <c r="D19" s="633"/>
      <c r="E19" s="1096"/>
      <c r="F19" s="648"/>
      <c r="G19" s="627"/>
      <c r="H19" s="658"/>
      <c r="I19" s="92" t="str">
        <f>IF(F19="","",VLOOKUP(F19,'15. Valores-Padrão'!$C$33:$F$40,4,FALSE))</f>
        <v/>
      </c>
      <c r="J19" s="635"/>
      <c r="K19" s="1103"/>
      <c r="L19" s="1104"/>
      <c r="M19" s="1104"/>
      <c r="N19" s="1105"/>
      <c r="O19" s="93">
        <f t="shared" si="1"/>
        <v>0</v>
      </c>
      <c r="P19" s="94">
        <f>+VLOOKUP($J$8,'16. Fatores de conversão'!$A$6:$I$14,6,FALSE)*O19</f>
        <v>0</v>
      </c>
      <c r="Q19" s="603">
        <f>IF(F19="",0,'1. Identificação Ben. Oper.'!$D$110*J19)</f>
        <v>0</v>
      </c>
      <c r="R19" s="636"/>
      <c r="S19" s="1058"/>
      <c r="T19" s="1059"/>
      <c r="U19" s="1059"/>
      <c r="V19" s="1060"/>
      <c r="W19" s="93">
        <f t="shared" si="2"/>
        <v>0</v>
      </c>
      <c r="X19" s="603">
        <f>'1. Identificação Ben. Oper.'!$D$110*'9. Medidas c)'!R19</f>
        <v>0</v>
      </c>
      <c r="Y19" s="604">
        <f>IF(O19=0,0,W19/O19)</f>
        <v>0</v>
      </c>
      <c r="Z19" s="94" t="str">
        <f>IF(R19="","",VLOOKUP($R$8,'16. Fatores de conversão'!$A$6:$I$14,3,FALSE)*R19)</f>
        <v/>
      </c>
      <c r="AA19" s="94">
        <f>IF($R$8="","",VLOOKUP($R$8,'16. Fatores de conversão'!$A$6:$J$12,6,FALSE)*R19)</f>
        <v>0</v>
      </c>
      <c r="AB19" s="94">
        <f>IF($R$8="","",(VLOOKUP($R$8,'16. Fatores de conversão'!$A$6:$I$12,9,FALSE)*R19)/1000)</f>
        <v>0</v>
      </c>
      <c r="AC19" s="630"/>
      <c r="AD19" s="630"/>
      <c r="AE19" s="638"/>
      <c r="AF19" s="796">
        <f>IF(OR(AD19="",AD19=0),0,IF(OR(AE19="",AE19=0),0,I19+1))</f>
        <v>0</v>
      </c>
      <c r="AG19" s="640"/>
      <c r="AH19" s="630"/>
      <c r="AI19" s="603" t="str">
        <f>IF(F19="","",VLOOKUP(F19,'15. Valores-Padrão'!$C$33:$E$40,3,FALSE)*H19)</f>
        <v/>
      </c>
      <c r="AJ19" s="603">
        <f t="shared" si="3"/>
        <v>0</v>
      </c>
      <c r="AK19" s="788">
        <f t="shared" si="4"/>
        <v>0</v>
      </c>
      <c r="AL19" s="12"/>
      <c r="AS19" s="11"/>
      <c r="AT19" s="95"/>
      <c r="AU19" s="66"/>
      <c r="AV19" s="66"/>
      <c r="AW19" s="66"/>
      <c r="AX19" s="11"/>
    </row>
    <row r="20" spans="2:50" ht="30" customHeight="1" x14ac:dyDescent="0.3">
      <c r="B20" s="15"/>
      <c r="C20" s="989" t="s">
        <v>49</v>
      </c>
      <c r="D20" s="990"/>
      <c r="E20" s="88"/>
      <c r="F20" s="88"/>
      <c r="G20" s="369"/>
      <c r="H20" s="369"/>
      <c r="I20" s="88"/>
      <c r="J20" s="413"/>
      <c r="K20" s="88"/>
      <c r="L20" s="88"/>
      <c r="M20" s="88"/>
      <c r="N20" s="88"/>
      <c r="O20" s="88"/>
      <c r="P20" s="88"/>
      <c r="Q20" s="90"/>
      <c r="R20" s="413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90"/>
      <c r="AG20" s="89"/>
      <c r="AH20" s="88"/>
      <c r="AI20" s="96"/>
      <c r="AJ20" s="88"/>
      <c r="AK20" s="90"/>
      <c r="AL20" s="12"/>
      <c r="AS20" s="11"/>
      <c r="AT20" s="95"/>
      <c r="AU20" s="66"/>
      <c r="AV20" s="66"/>
      <c r="AW20" s="66"/>
      <c r="AX20" s="11"/>
    </row>
    <row r="21" spans="2:50" ht="30" customHeight="1" x14ac:dyDescent="0.3">
      <c r="B21" s="15"/>
      <c r="C21" s="91">
        <v>11</v>
      </c>
      <c r="D21" s="633"/>
      <c r="E21" s="1094"/>
      <c r="F21" s="648"/>
      <c r="G21" s="627"/>
      <c r="H21" s="627"/>
      <c r="I21" s="650"/>
      <c r="J21" s="635"/>
      <c r="K21" s="1106"/>
      <c r="L21" s="1107"/>
      <c r="M21" s="1107"/>
      <c r="N21" s="1108"/>
      <c r="O21" s="93">
        <f>J21</f>
        <v>0</v>
      </c>
      <c r="P21" s="94">
        <f>+VLOOKUP($J$8,'16. Fatores de conversão'!$A$6:$I$14,6,FALSE)*O21</f>
        <v>0</v>
      </c>
      <c r="Q21" s="603">
        <f>IF(F21="",0,'1. Identificação Ben. Oper.'!$D$110*J21)</f>
        <v>0</v>
      </c>
      <c r="R21" s="636"/>
      <c r="S21" s="1052"/>
      <c r="T21" s="1053"/>
      <c r="U21" s="1053"/>
      <c r="V21" s="1054"/>
      <c r="W21" s="93">
        <f>R21</f>
        <v>0</v>
      </c>
      <c r="X21" s="603">
        <f>'1. Identificação Ben. Oper.'!$D$110*'9. Medidas c)'!R21</f>
        <v>0</v>
      </c>
      <c r="Y21" s="604">
        <f t="shared" ref="Y21:Y26" si="11">IF(O21=0,0,W21/O21)</f>
        <v>0</v>
      </c>
      <c r="Z21" s="94" t="str">
        <f>IF(R21="","",VLOOKUP($R$8,'16. Fatores de conversão'!$A$6:$I$14,3,FALSE)*R21)</f>
        <v/>
      </c>
      <c r="AA21" s="94">
        <f>IF($R$8="","",VLOOKUP($R$8,'16. Fatores de conversão'!$A$6:$J$12,6,FALSE)*R21)</f>
        <v>0</v>
      </c>
      <c r="AB21" s="94">
        <f>IF($R$8="","",(VLOOKUP($R$8,'16. Fatores de conversão'!$A$6:$I$12,9,FALSE)*R21)/1000)</f>
        <v>0</v>
      </c>
      <c r="AC21" s="630"/>
      <c r="AD21" s="630"/>
      <c r="AE21" s="638"/>
      <c r="AF21" s="796">
        <f>IF(OR(AD21="",AD21=0),0,IF(OR(AE21="",AE21=0),0,I21+1))</f>
        <v>0</v>
      </c>
      <c r="AG21" s="640"/>
      <c r="AH21" s="641"/>
      <c r="AI21" s="830" t="s">
        <v>196</v>
      </c>
      <c r="AJ21" s="603">
        <f>IF(AG21=0,0,IF(AG21&lt;(AI21),AG21+AH21,((AI21)+((AH21/AG21)*AI21))))</f>
        <v>0</v>
      </c>
      <c r="AK21" s="788">
        <f t="shared" si="4"/>
        <v>0</v>
      </c>
      <c r="AL21" s="12"/>
      <c r="AS21" s="11"/>
      <c r="AT21" s="95"/>
      <c r="AU21" s="66"/>
      <c r="AV21" s="66"/>
      <c r="AW21" s="66"/>
      <c r="AX21" s="11"/>
    </row>
    <row r="22" spans="2:50" ht="30" customHeight="1" x14ac:dyDescent="0.3">
      <c r="B22" s="15"/>
      <c r="C22" s="91">
        <v>12</v>
      </c>
      <c r="D22" s="633"/>
      <c r="E22" s="1095"/>
      <c r="F22" s="648"/>
      <c r="G22" s="627"/>
      <c r="H22" s="627"/>
      <c r="I22" s="650"/>
      <c r="J22" s="635"/>
      <c r="K22" s="1109"/>
      <c r="L22" s="1110"/>
      <c r="M22" s="1110"/>
      <c r="N22" s="1111"/>
      <c r="O22" s="93">
        <f t="shared" ref="O22:O25" si="12">J22</f>
        <v>0</v>
      </c>
      <c r="P22" s="94">
        <f>+VLOOKUP($J$8,'16. Fatores de conversão'!$A$6:$I$14,6,FALSE)*O22</f>
        <v>0</v>
      </c>
      <c r="Q22" s="603">
        <f>IF(F22="",0,'1. Identificação Ben. Oper.'!$D$110*J22)</f>
        <v>0</v>
      </c>
      <c r="R22" s="636"/>
      <c r="S22" s="1055"/>
      <c r="T22" s="1056"/>
      <c r="U22" s="1056"/>
      <c r="V22" s="1057"/>
      <c r="W22" s="93">
        <f t="shared" ref="W22:W25" si="13">R22</f>
        <v>0</v>
      </c>
      <c r="X22" s="603">
        <f>'1. Identificação Ben. Oper.'!$D$110*'9. Medidas c)'!R22</f>
        <v>0</v>
      </c>
      <c r="Y22" s="604">
        <f t="shared" si="11"/>
        <v>0</v>
      </c>
      <c r="Z22" s="94" t="str">
        <f>IF(R22="","",VLOOKUP($R$8,'16. Fatores de conversão'!$A$6:$I$14,3,FALSE)*R22)</f>
        <v/>
      </c>
      <c r="AA22" s="94">
        <f>IF($R$8="","",VLOOKUP($R$8,'16. Fatores de conversão'!$A$6:$J$12,6,FALSE)*R22)</f>
        <v>0</v>
      </c>
      <c r="AB22" s="94">
        <f>IF($R$8="","",(VLOOKUP($R$8,'16. Fatores de conversão'!$A$6:$I$12,9,FALSE)*R22)/1000)</f>
        <v>0</v>
      </c>
      <c r="AC22" s="630"/>
      <c r="AD22" s="630"/>
      <c r="AE22" s="638"/>
      <c r="AF22" s="796">
        <f>IF(OR(AD22="",AD22=0),0,IF(OR(AE22="",AE22=0),0,I22+1))</f>
        <v>0</v>
      </c>
      <c r="AG22" s="640"/>
      <c r="AH22" s="641"/>
      <c r="AI22" s="830" t="s">
        <v>196</v>
      </c>
      <c r="AJ22" s="603">
        <f t="shared" si="3"/>
        <v>0</v>
      </c>
      <c r="AK22" s="788">
        <f t="shared" si="4"/>
        <v>0</v>
      </c>
      <c r="AL22" s="12"/>
      <c r="AS22" s="11"/>
      <c r="AT22" s="95"/>
      <c r="AU22" s="66"/>
      <c r="AV22" s="66"/>
      <c r="AW22" s="66"/>
      <c r="AX22" s="11"/>
    </row>
    <row r="23" spans="2:50" ht="30" customHeight="1" x14ac:dyDescent="0.3">
      <c r="B23" s="15"/>
      <c r="C23" s="91">
        <v>13</v>
      </c>
      <c r="D23" s="633"/>
      <c r="E23" s="1095"/>
      <c r="F23" s="648"/>
      <c r="G23" s="627"/>
      <c r="H23" s="627"/>
      <c r="I23" s="650"/>
      <c r="J23" s="635"/>
      <c r="K23" s="1109"/>
      <c r="L23" s="1110"/>
      <c r="M23" s="1110"/>
      <c r="N23" s="1111"/>
      <c r="O23" s="93">
        <f t="shared" si="12"/>
        <v>0</v>
      </c>
      <c r="P23" s="94">
        <f>+VLOOKUP($J$8,'16. Fatores de conversão'!$A$6:$I$14,6,FALSE)*O23</f>
        <v>0</v>
      </c>
      <c r="Q23" s="603">
        <f>IF(F23="",0,'1. Identificação Ben. Oper.'!$D$110*J23)</f>
        <v>0</v>
      </c>
      <c r="R23" s="636"/>
      <c r="S23" s="1055"/>
      <c r="T23" s="1056"/>
      <c r="U23" s="1056"/>
      <c r="V23" s="1057"/>
      <c r="W23" s="93">
        <f t="shared" si="13"/>
        <v>0</v>
      </c>
      <c r="X23" s="603">
        <f>'1. Identificação Ben. Oper.'!$D$110*'9. Medidas c)'!R23</f>
        <v>0</v>
      </c>
      <c r="Y23" s="604">
        <f t="shared" si="11"/>
        <v>0</v>
      </c>
      <c r="Z23" s="94" t="str">
        <f>IF(R23="","",VLOOKUP($R$8,'16. Fatores de conversão'!$A$6:$I$14,3,FALSE)*R23)</f>
        <v/>
      </c>
      <c r="AA23" s="94">
        <f>IF($R$8="","",VLOOKUP($R$8,'16. Fatores de conversão'!$A$6:$J$12,6,FALSE)*R23)</f>
        <v>0</v>
      </c>
      <c r="AB23" s="94">
        <f>IF($R$8="","",(VLOOKUP($R$8,'16. Fatores de conversão'!$A$6:$I$12,9,FALSE)*R23)/1000)</f>
        <v>0</v>
      </c>
      <c r="AC23" s="630"/>
      <c r="AD23" s="630"/>
      <c r="AE23" s="638"/>
      <c r="AF23" s="796">
        <f>IF(OR(AD23="",AD23=0),0,IF(OR(AE23="",AE23=0),0,I23+1))</f>
        <v>0</v>
      </c>
      <c r="AG23" s="640"/>
      <c r="AH23" s="641"/>
      <c r="AI23" s="830" t="s">
        <v>196</v>
      </c>
      <c r="AJ23" s="603">
        <f t="shared" si="3"/>
        <v>0</v>
      </c>
      <c r="AK23" s="788">
        <f t="shared" si="4"/>
        <v>0</v>
      </c>
      <c r="AL23" s="12"/>
      <c r="AS23" s="11"/>
      <c r="AT23" s="95"/>
      <c r="AU23" s="66"/>
      <c r="AV23" s="66"/>
      <c r="AW23" s="66"/>
      <c r="AX23" s="11"/>
    </row>
    <row r="24" spans="2:50" ht="30" customHeight="1" x14ac:dyDescent="0.3">
      <c r="B24" s="15"/>
      <c r="C24" s="91">
        <v>14</v>
      </c>
      <c r="D24" s="633"/>
      <c r="E24" s="1095"/>
      <c r="F24" s="648"/>
      <c r="G24" s="627"/>
      <c r="H24" s="627"/>
      <c r="I24" s="650"/>
      <c r="J24" s="635"/>
      <c r="K24" s="1109"/>
      <c r="L24" s="1110"/>
      <c r="M24" s="1110"/>
      <c r="N24" s="1111"/>
      <c r="O24" s="93">
        <f t="shared" si="12"/>
        <v>0</v>
      </c>
      <c r="P24" s="94">
        <f>+VLOOKUP($J$8,'16. Fatores de conversão'!$A$6:$I$14,6,FALSE)*O24</f>
        <v>0</v>
      </c>
      <c r="Q24" s="603">
        <f>IF(F24="",0,'1. Identificação Ben. Oper.'!$D$110*J24)</f>
        <v>0</v>
      </c>
      <c r="R24" s="636"/>
      <c r="S24" s="1055"/>
      <c r="T24" s="1056"/>
      <c r="U24" s="1056"/>
      <c r="V24" s="1057"/>
      <c r="W24" s="93">
        <f t="shared" si="13"/>
        <v>0</v>
      </c>
      <c r="X24" s="603">
        <f>'1. Identificação Ben. Oper.'!$D$110*'9. Medidas c)'!R24</f>
        <v>0</v>
      </c>
      <c r="Y24" s="604">
        <f t="shared" si="11"/>
        <v>0</v>
      </c>
      <c r="Z24" s="94" t="str">
        <f>IF(R24="","",VLOOKUP($R$8,'16. Fatores de conversão'!$A$6:$I$14,3,FALSE)*R24)</f>
        <v/>
      </c>
      <c r="AA24" s="94">
        <f>IF($R$8="","",VLOOKUP($R$8,'16. Fatores de conversão'!$A$6:$J$12,6,FALSE)*R24)</f>
        <v>0</v>
      </c>
      <c r="AB24" s="94">
        <f>IF($R$8="","",(VLOOKUP($R$8,'16. Fatores de conversão'!$A$6:$I$12,9,FALSE)*R24)/1000)</f>
        <v>0</v>
      </c>
      <c r="AC24" s="630"/>
      <c r="AD24" s="630"/>
      <c r="AE24" s="638"/>
      <c r="AF24" s="796">
        <f>IF(OR(AD24="",AD24=0),0,IF(OR(AE24="",AE24=0),0,I24+1))</f>
        <v>0</v>
      </c>
      <c r="AG24" s="640"/>
      <c r="AH24" s="641"/>
      <c r="AI24" s="830" t="s">
        <v>196</v>
      </c>
      <c r="AJ24" s="603">
        <f t="shared" si="3"/>
        <v>0</v>
      </c>
      <c r="AK24" s="788">
        <f t="shared" si="4"/>
        <v>0</v>
      </c>
      <c r="AL24" s="12"/>
      <c r="AS24" s="11"/>
      <c r="AT24" s="95"/>
      <c r="AU24" s="66"/>
      <c r="AV24" s="66"/>
      <c r="AW24" s="66"/>
      <c r="AX24" s="11"/>
    </row>
    <row r="25" spans="2:50" ht="30" customHeight="1" thickBot="1" x14ac:dyDescent="0.35">
      <c r="B25" s="15"/>
      <c r="C25" s="97">
        <v>15</v>
      </c>
      <c r="D25" s="645"/>
      <c r="E25" s="1115"/>
      <c r="F25" s="652"/>
      <c r="G25" s="647"/>
      <c r="H25" s="647"/>
      <c r="I25" s="653"/>
      <c r="J25" s="654"/>
      <c r="K25" s="1112"/>
      <c r="L25" s="1113"/>
      <c r="M25" s="1113"/>
      <c r="N25" s="1114"/>
      <c r="O25" s="93">
        <f t="shared" si="12"/>
        <v>0</v>
      </c>
      <c r="P25" s="94">
        <f>+VLOOKUP($J$8,'16. Fatores de conversão'!$A$6:$I$14,6,FALSE)*O25</f>
        <v>0</v>
      </c>
      <c r="Q25" s="603">
        <f>IF(F25="",0,'1. Identificação Ben. Oper.'!$D$110*J25)</f>
        <v>0</v>
      </c>
      <c r="R25" s="655"/>
      <c r="S25" s="1061"/>
      <c r="T25" s="1062"/>
      <c r="U25" s="1062"/>
      <c r="V25" s="1063"/>
      <c r="W25" s="93">
        <f t="shared" si="13"/>
        <v>0</v>
      </c>
      <c r="X25" s="603">
        <f>'1. Identificação Ben. Oper.'!$D$110*'9. Medidas c)'!R25</f>
        <v>0</v>
      </c>
      <c r="Y25" s="604">
        <f t="shared" si="11"/>
        <v>0</v>
      </c>
      <c r="Z25" s="94" t="str">
        <f>IF(R25="","",VLOOKUP($R$8,'16. Fatores de conversão'!$A$6:$I$14,3,FALSE)*R25)</f>
        <v/>
      </c>
      <c r="AA25" s="94">
        <f>IF($R$8="","",VLOOKUP($R$8,'16. Fatores de conversão'!$A$6:$J$12,6,FALSE)*R25)</f>
        <v>0</v>
      </c>
      <c r="AB25" s="94">
        <f>IF($R$8="","",(VLOOKUP($R$8,'16. Fatores de conversão'!$A$6:$I$12,9,FALSE)*R25)/1000)</f>
        <v>0</v>
      </c>
      <c r="AC25" s="649"/>
      <c r="AD25" s="649"/>
      <c r="AE25" s="638"/>
      <c r="AF25" s="796">
        <f>IF(OR(AD25="",AD25=0),0,IF(OR(AE25="",AE25=0),0,I25+1))</f>
        <v>0</v>
      </c>
      <c r="AG25" s="642"/>
      <c r="AH25" s="643"/>
      <c r="AI25" s="830" t="s">
        <v>196</v>
      </c>
      <c r="AJ25" s="789">
        <f t="shared" si="3"/>
        <v>0</v>
      </c>
      <c r="AK25" s="788">
        <f t="shared" si="4"/>
        <v>0</v>
      </c>
      <c r="AL25" s="12"/>
      <c r="AS25" s="11"/>
      <c r="AT25" s="95"/>
      <c r="AU25" s="66"/>
      <c r="AV25" s="66"/>
      <c r="AW25" s="66"/>
      <c r="AX25" s="11"/>
    </row>
    <row r="26" spans="2:50" ht="15.75" thickBot="1" x14ac:dyDescent="0.3">
      <c r="B26" s="15"/>
      <c r="C26" s="21"/>
      <c r="D26" s="11"/>
      <c r="E26" s="11"/>
      <c r="F26" s="11"/>
      <c r="G26" s="11"/>
      <c r="H26" s="11"/>
      <c r="I26" s="11"/>
      <c r="J26" s="778">
        <f>SUM(J10:J25)</f>
        <v>0</v>
      </c>
      <c r="K26" s="1091"/>
      <c r="L26" s="1092"/>
      <c r="M26" s="1092"/>
      <c r="N26" s="1093"/>
      <c r="O26" s="779">
        <f t="shared" ref="O26:X26" si="14">SUM(O10:O25)</f>
        <v>0</v>
      </c>
      <c r="P26" s="780">
        <f t="shared" si="14"/>
        <v>0</v>
      </c>
      <c r="Q26" s="781">
        <f t="shared" si="14"/>
        <v>0</v>
      </c>
      <c r="R26" s="778">
        <f t="shared" si="14"/>
        <v>0</v>
      </c>
      <c r="S26" s="779">
        <f t="shared" si="14"/>
        <v>0</v>
      </c>
      <c r="T26" s="779">
        <f t="shared" si="14"/>
        <v>0</v>
      </c>
      <c r="U26" s="779">
        <f t="shared" si="14"/>
        <v>0</v>
      </c>
      <c r="V26" s="779">
        <f t="shared" si="14"/>
        <v>0</v>
      </c>
      <c r="W26" s="779">
        <f t="shared" si="14"/>
        <v>0</v>
      </c>
      <c r="X26" s="782">
        <f t="shared" si="14"/>
        <v>0</v>
      </c>
      <c r="Y26" s="783">
        <f t="shared" si="11"/>
        <v>0</v>
      </c>
      <c r="Z26" s="784">
        <f>SUM(Z10:Z25)</f>
        <v>0</v>
      </c>
      <c r="AA26" s="784">
        <f>SUM(AA10:AA25)</f>
        <v>0</v>
      </c>
      <c r="AB26" s="784">
        <f>SUM(AB10:AB25)</f>
        <v>0</v>
      </c>
      <c r="AC26" s="782">
        <f>SUM(AC10:AC25)</f>
        <v>0</v>
      </c>
      <c r="AD26" s="785">
        <f>SUM(AD10:AD25)</f>
        <v>0</v>
      </c>
      <c r="AE26" s="368"/>
      <c r="AF26" s="365"/>
      <c r="AG26" s="786">
        <f>SUM(AG10:AG25)</f>
        <v>0</v>
      </c>
      <c r="AH26" s="782">
        <f>SUM(AH10:AH25)</f>
        <v>0</v>
      </c>
      <c r="AI26" s="782">
        <f>SUM(AI10:AI25)</f>
        <v>0</v>
      </c>
      <c r="AJ26" s="782">
        <f>SUM(AJ10:AJ25)</f>
        <v>0</v>
      </c>
      <c r="AK26" s="787">
        <f t="shared" si="4"/>
        <v>0</v>
      </c>
      <c r="AL26" s="12"/>
      <c r="AS26" s="36"/>
      <c r="AT26" s="95"/>
      <c r="AU26" s="66"/>
      <c r="AV26" s="66"/>
      <c r="AW26" s="66"/>
      <c r="AX26" s="11"/>
    </row>
    <row r="27" spans="2:50" s="1" customFormat="1" ht="30" customHeight="1" thickBot="1" x14ac:dyDescent="0.3">
      <c r="B27" s="9"/>
      <c r="C27" s="972" t="s">
        <v>454</v>
      </c>
      <c r="D27" s="973"/>
      <c r="E27" s="775">
        <f>AG26+AH26</f>
        <v>0</v>
      </c>
      <c r="F27" s="21"/>
      <c r="G27" s="21"/>
      <c r="H27" s="21"/>
      <c r="I27" s="21"/>
      <c r="J27" s="21"/>
      <c r="K27" s="21"/>
      <c r="L27" s="21"/>
      <c r="M27" s="21"/>
      <c r="N27" s="60"/>
      <c r="O27" s="60"/>
      <c r="P27" s="21"/>
      <c r="Q27" s="21"/>
      <c r="R27" s="99"/>
      <c r="S27" s="20"/>
      <c r="T27" s="99"/>
      <c r="U27" s="60"/>
      <c r="V27" s="60"/>
      <c r="W27" s="60"/>
      <c r="X27" s="60"/>
      <c r="Y27" s="60"/>
      <c r="Z27" s="60"/>
      <c r="AA27" s="60"/>
      <c r="AB27" s="60"/>
      <c r="AC27" s="99"/>
      <c r="AD27" s="60"/>
      <c r="AE27" s="21"/>
      <c r="AF27" s="21"/>
      <c r="AG27" s="21"/>
      <c r="AH27" s="21"/>
      <c r="AI27" s="21"/>
      <c r="AL27" s="100"/>
      <c r="AN27" s="66"/>
      <c r="AO27" s="66"/>
      <c r="AP27" s="66"/>
      <c r="AQ27" s="21"/>
    </row>
    <row r="28" spans="2:50" ht="30" customHeight="1" thickBot="1" x14ac:dyDescent="0.3">
      <c r="B28" s="15"/>
      <c r="C28" s="972" t="s">
        <v>455</v>
      </c>
      <c r="D28" s="973"/>
      <c r="E28" s="775">
        <f>AJ26</f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L28" s="12"/>
      <c r="AN28" s="66"/>
      <c r="AO28" s="66"/>
      <c r="AP28" s="66"/>
      <c r="AQ28" s="11"/>
    </row>
    <row r="29" spans="2:50" ht="15" x14ac:dyDescent="0.25">
      <c r="B29" s="15"/>
      <c r="C29" s="2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66"/>
      <c r="AK29" s="76"/>
      <c r="AL29" s="62"/>
      <c r="AN29" s="11"/>
      <c r="AO29" s="66"/>
      <c r="AP29" s="66"/>
      <c r="AQ29" s="11"/>
    </row>
    <row r="30" spans="2:50" ht="15.75" thickBot="1" x14ac:dyDescent="0.3">
      <c r="B30" s="15"/>
      <c r="C30" s="2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66"/>
      <c r="AK30" s="76"/>
      <c r="AL30" s="62"/>
      <c r="AN30" s="11"/>
      <c r="AO30" s="66"/>
      <c r="AP30" s="66"/>
      <c r="AQ30" s="11"/>
    </row>
    <row r="31" spans="2:50" ht="56.25" customHeight="1" thickBot="1" x14ac:dyDescent="0.35">
      <c r="B31" s="15"/>
      <c r="C31" s="101" t="s">
        <v>51</v>
      </c>
      <c r="D31" s="102"/>
      <c r="E31" s="102"/>
      <c r="F31" s="102"/>
      <c r="G31" s="102"/>
      <c r="H31" s="102"/>
      <c r="I31" s="102"/>
      <c r="J31" s="974" t="s">
        <v>205</v>
      </c>
      <c r="K31" s="975"/>
      <c r="L31" s="976"/>
      <c r="M31" s="976"/>
      <c r="N31" s="976"/>
      <c r="O31" s="976"/>
      <c r="P31" s="976"/>
      <c r="Q31" s="976"/>
      <c r="R31" s="976"/>
      <c r="S31" s="976"/>
      <c r="T31" s="976"/>
      <c r="U31" s="976"/>
      <c r="V31" s="976"/>
      <c r="W31" s="976"/>
      <c r="X31" s="976"/>
      <c r="Y31" s="976"/>
      <c r="Z31" s="976"/>
      <c r="AA31" s="976"/>
      <c r="AB31" s="976"/>
      <c r="AC31" s="976"/>
      <c r="AD31" s="976"/>
      <c r="AE31" s="976"/>
      <c r="AF31" s="976"/>
      <c r="AG31" s="976"/>
      <c r="AH31" s="976"/>
      <c r="AI31" s="977"/>
      <c r="AK31" s="76"/>
      <c r="AL31" s="62"/>
      <c r="AN31" s="11"/>
      <c r="AO31" s="66"/>
      <c r="AP31" s="66"/>
      <c r="AQ31" s="11"/>
    </row>
    <row r="32" spans="2:50" ht="15" thickBot="1" x14ac:dyDescent="0.35">
      <c r="B32" s="15"/>
      <c r="C32" s="103"/>
      <c r="D32" s="104"/>
      <c r="E32" s="104"/>
      <c r="F32" s="104"/>
      <c r="G32" s="105"/>
      <c r="H32" s="105"/>
      <c r="I32" s="104"/>
      <c r="J32" s="993" t="s">
        <v>25</v>
      </c>
      <c r="K32" s="994"/>
      <c r="L32" s="994"/>
      <c r="M32" s="994"/>
      <c r="N32" s="994"/>
      <c r="O32" s="994"/>
      <c r="P32" s="994"/>
      <c r="Q32" s="994"/>
      <c r="R32" s="994"/>
      <c r="S32" s="994"/>
      <c r="T32" s="994"/>
      <c r="U32" s="994"/>
      <c r="V32" s="994"/>
      <c r="W32" s="994"/>
      <c r="X32" s="994"/>
      <c r="Y32" s="994"/>
      <c r="Z32" s="994"/>
      <c r="AA32" s="994"/>
      <c r="AB32" s="994"/>
      <c r="AC32" s="994"/>
      <c r="AD32" s="994"/>
      <c r="AE32" s="994"/>
      <c r="AF32" s="994"/>
      <c r="AG32" s="994"/>
      <c r="AH32" s="994"/>
      <c r="AI32" s="106"/>
      <c r="AK32" s="76"/>
      <c r="AL32" s="62"/>
      <c r="AN32" s="11"/>
      <c r="AO32" s="66"/>
      <c r="AP32" s="66"/>
      <c r="AQ32" s="11"/>
    </row>
    <row r="33" spans="2:43" ht="28.5" customHeight="1" thickBot="1" x14ac:dyDescent="0.35">
      <c r="B33" s="15"/>
      <c r="C33" s="107" t="s">
        <v>52</v>
      </c>
      <c r="D33" s="108" t="s">
        <v>185</v>
      </c>
      <c r="E33" s="108" t="s">
        <v>184</v>
      </c>
      <c r="F33" s="108" t="s">
        <v>190</v>
      </c>
      <c r="G33" s="971" t="s">
        <v>121</v>
      </c>
      <c r="H33" s="971"/>
      <c r="I33" s="971"/>
      <c r="J33" s="342">
        <v>1</v>
      </c>
      <c r="K33" s="342">
        <v>2</v>
      </c>
      <c r="L33" s="342">
        <v>3</v>
      </c>
      <c r="M33" s="342">
        <v>4</v>
      </c>
      <c r="N33" s="342">
        <v>5</v>
      </c>
      <c r="O33" s="342">
        <v>6</v>
      </c>
      <c r="P33" s="342">
        <v>7</v>
      </c>
      <c r="Q33" s="342">
        <v>8</v>
      </c>
      <c r="R33" s="342">
        <v>9</v>
      </c>
      <c r="S33" s="342">
        <v>10</v>
      </c>
      <c r="T33" s="342">
        <v>11</v>
      </c>
      <c r="U33" s="342">
        <v>12</v>
      </c>
      <c r="V33" s="342">
        <v>13</v>
      </c>
      <c r="W33" s="342">
        <v>14</v>
      </c>
      <c r="X33" s="342">
        <v>15</v>
      </c>
      <c r="Y33" s="342">
        <v>16</v>
      </c>
      <c r="Z33" s="342">
        <v>17</v>
      </c>
      <c r="AA33" s="342">
        <v>18</v>
      </c>
      <c r="AB33" s="342">
        <v>19</v>
      </c>
      <c r="AC33" s="342">
        <v>20</v>
      </c>
      <c r="AD33" s="342">
        <v>21</v>
      </c>
      <c r="AE33" s="342">
        <v>22</v>
      </c>
      <c r="AF33" s="342">
        <v>23</v>
      </c>
      <c r="AG33" s="342">
        <v>24</v>
      </c>
      <c r="AH33" s="342">
        <v>25</v>
      </c>
      <c r="AI33" s="110" t="s">
        <v>53</v>
      </c>
      <c r="AK33" s="76"/>
      <c r="AL33" s="62"/>
      <c r="AN33" s="11"/>
      <c r="AO33" s="11"/>
      <c r="AP33" s="11"/>
      <c r="AQ33" s="11"/>
    </row>
    <row r="34" spans="2:43" ht="15" thickBot="1" x14ac:dyDescent="0.35">
      <c r="B34" s="15"/>
      <c r="C34" s="111">
        <f>C10</f>
        <v>1</v>
      </c>
      <c r="D34" s="112">
        <f>X10</f>
        <v>0</v>
      </c>
      <c r="E34" s="112">
        <f t="shared" ref="E34:F37" si="15">AC10</f>
        <v>0</v>
      </c>
      <c r="F34" s="112">
        <f t="shared" si="15"/>
        <v>0</v>
      </c>
      <c r="G34" s="112">
        <f>IF(D34="",0,D34-E34)</f>
        <v>0</v>
      </c>
      <c r="H34" s="112"/>
      <c r="I34" s="113"/>
      <c r="J34" s="114" t="str">
        <f>IF(AND($I10&gt;=J$33,$I10&lt;&gt;""),$G34,"n.a.")</f>
        <v>n.a.</v>
      </c>
      <c r="K34" s="114" t="str">
        <f t="shared" ref="K34:AH34" si="16">IF(AND($I10&gt;=K$33,$I10&lt;&gt;""),$G34,"n.a.")</f>
        <v>n.a.</v>
      </c>
      <c r="L34" s="114" t="str">
        <f t="shared" si="16"/>
        <v>n.a.</v>
      </c>
      <c r="M34" s="114" t="str">
        <f t="shared" si="16"/>
        <v>n.a.</v>
      </c>
      <c r="N34" s="114" t="str">
        <f t="shared" si="16"/>
        <v>n.a.</v>
      </c>
      <c r="O34" s="114" t="str">
        <f t="shared" si="16"/>
        <v>n.a.</v>
      </c>
      <c r="P34" s="114" t="str">
        <f t="shared" si="16"/>
        <v>n.a.</v>
      </c>
      <c r="Q34" s="114" t="str">
        <f t="shared" si="16"/>
        <v>n.a.</v>
      </c>
      <c r="R34" s="114" t="str">
        <f t="shared" si="16"/>
        <v>n.a.</v>
      </c>
      <c r="S34" s="114" t="str">
        <f t="shared" si="16"/>
        <v>n.a.</v>
      </c>
      <c r="T34" s="114" t="str">
        <f t="shared" si="16"/>
        <v>n.a.</v>
      </c>
      <c r="U34" s="114" t="str">
        <f t="shared" si="16"/>
        <v>n.a.</v>
      </c>
      <c r="V34" s="114" t="str">
        <f t="shared" si="16"/>
        <v>n.a.</v>
      </c>
      <c r="W34" s="114" t="str">
        <f t="shared" si="16"/>
        <v>n.a.</v>
      </c>
      <c r="X34" s="114" t="str">
        <f t="shared" si="16"/>
        <v>n.a.</v>
      </c>
      <c r="Y34" s="114" t="str">
        <f t="shared" si="16"/>
        <v>n.a.</v>
      </c>
      <c r="Z34" s="114" t="str">
        <f t="shared" si="16"/>
        <v>n.a.</v>
      </c>
      <c r="AA34" s="114" t="str">
        <f t="shared" si="16"/>
        <v>n.a.</v>
      </c>
      <c r="AB34" s="114" t="str">
        <f t="shared" si="16"/>
        <v>n.a.</v>
      </c>
      <c r="AC34" s="114" t="str">
        <f t="shared" si="16"/>
        <v>n.a.</v>
      </c>
      <c r="AD34" s="114" t="str">
        <f t="shared" si="16"/>
        <v>n.a.</v>
      </c>
      <c r="AE34" s="114" t="str">
        <f t="shared" si="16"/>
        <v>n.a.</v>
      </c>
      <c r="AF34" s="114" t="str">
        <f t="shared" si="16"/>
        <v>n.a.</v>
      </c>
      <c r="AG34" s="114" t="str">
        <f t="shared" si="16"/>
        <v>n.a.</v>
      </c>
      <c r="AH34" s="114" t="str">
        <f t="shared" si="16"/>
        <v>n.a.</v>
      </c>
      <c r="AI34" s="115">
        <f t="shared" ref="AI34:AI48" si="17">SUM(J34:AH34)</f>
        <v>0</v>
      </c>
      <c r="AK34" s="76"/>
      <c r="AL34" s="62"/>
    </row>
    <row r="35" spans="2:43" ht="15" thickBot="1" x14ac:dyDescent="0.35">
      <c r="B35" s="15"/>
      <c r="C35" s="111">
        <f>C11</f>
        <v>2</v>
      </c>
      <c r="D35" s="112">
        <f>X11</f>
        <v>0</v>
      </c>
      <c r="E35" s="112">
        <f t="shared" si="15"/>
        <v>0</v>
      </c>
      <c r="F35" s="112">
        <f t="shared" si="15"/>
        <v>0</v>
      </c>
      <c r="G35" s="112">
        <f t="shared" ref="G35:G48" si="18">IF(D35="",0,D35-E35)</f>
        <v>0</v>
      </c>
      <c r="H35" s="112"/>
      <c r="I35" s="116"/>
      <c r="J35" s="114" t="str">
        <f>IF(AND($I11&gt;=J$33,$I11&lt;&gt;""),$G35,"n.a.")</f>
        <v>n.a.</v>
      </c>
      <c r="K35" s="114" t="str">
        <f t="shared" ref="K35:AH35" si="19">IF(AND($I11&gt;=K$33,$I11&lt;&gt;""),$G35,"n.a.")</f>
        <v>n.a.</v>
      </c>
      <c r="L35" s="114" t="str">
        <f t="shared" si="19"/>
        <v>n.a.</v>
      </c>
      <c r="M35" s="114" t="str">
        <f t="shared" si="19"/>
        <v>n.a.</v>
      </c>
      <c r="N35" s="114" t="str">
        <f t="shared" si="19"/>
        <v>n.a.</v>
      </c>
      <c r="O35" s="114" t="str">
        <f t="shared" si="19"/>
        <v>n.a.</v>
      </c>
      <c r="P35" s="114" t="str">
        <f t="shared" si="19"/>
        <v>n.a.</v>
      </c>
      <c r="Q35" s="114" t="str">
        <f t="shared" si="19"/>
        <v>n.a.</v>
      </c>
      <c r="R35" s="114" t="str">
        <f t="shared" si="19"/>
        <v>n.a.</v>
      </c>
      <c r="S35" s="114" t="str">
        <f t="shared" si="19"/>
        <v>n.a.</v>
      </c>
      <c r="T35" s="114" t="str">
        <f t="shared" si="19"/>
        <v>n.a.</v>
      </c>
      <c r="U35" s="114" t="str">
        <f t="shared" si="19"/>
        <v>n.a.</v>
      </c>
      <c r="V35" s="114" t="str">
        <f t="shared" si="19"/>
        <v>n.a.</v>
      </c>
      <c r="W35" s="114" t="str">
        <f t="shared" si="19"/>
        <v>n.a.</v>
      </c>
      <c r="X35" s="114" t="str">
        <f t="shared" si="19"/>
        <v>n.a.</v>
      </c>
      <c r="Y35" s="114" t="str">
        <f t="shared" si="19"/>
        <v>n.a.</v>
      </c>
      <c r="Z35" s="114" t="str">
        <f t="shared" si="19"/>
        <v>n.a.</v>
      </c>
      <c r="AA35" s="114" t="str">
        <f t="shared" si="19"/>
        <v>n.a.</v>
      </c>
      <c r="AB35" s="114" t="str">
        <f t="shared" si="19"/>
        <v>n.a.</v>
      </c>
      <c r="AC35" s="114" t="str">
        <f t="shared" si="19"/>
        <v>n.a.</v>
      </c>
      <c r="AD35" s="114" t="str">
        <f t="shared" si="19"/>
        <v>n.a.</v>
      </c>
      <c r="AE35" s="114" t="str">
        <f t="shared" si="19"/>
        <v>n.a.</v>
      </c>
      <c r="AF35" s="114" t="str">
        <f t="shared" si="19"/>
        <v>n.a.</v>
      </c>
      <c r="AG35" s="114" t="str">
        <f t="shared" si="19"/>
        <v>n.a.</v>
      </c>
      <c r="AH35" s="114" t="str">
        <f t="shared" si="19"/>
        <v>n.a.</v>
      </c>
      <c r="AI35" s="115">
        <f t="shared" si="17"/>
        <v>0</v>
      </c>
      <c r="AK35" s="76"/>
      <c r="AL35" s="62"/>
    </row>
    <row r="36" spans="2:43" ht="15" thickBot="1" x14ac:dyDescent="0.35">
      <c r="B36" s="15"/>
      <c r="C36" s="111">
        <f>C12</f>
        <v>3</v>
      </c>
      <c r="D36" s="112">
        <f>X12</f>
        <v>0</v>
      </c>
      <c r="E36" s="112">
        <f t="shared" si="15"/>
        <v>0</v>
      </c>
      <c r="F36" s="112">
        <f t="shared" si="15"/>
        <v>0</v>
      </c>
      <c r="G36" s="112">
        <f t="shared" si="18"/>
        <v>0</v>
      </c>
      <c r="H36" s="112"/>
      <c r="I36" s="116"/>
      <c r="J36" s="114" t="str">
        <f>IF(AND($I12&gt;=J$33,$I12&lt;&gt;""),$G36,"n.a.")</f>
        <v>n.a.</v>
      </c>
      <c r="K36" s="114" t="str">
        <f t="shared" ref="K36:AH36" si="20">IF(AND($I12&gt;=K$33,$I12&lt;&gt;""),$G36,"n.a.")</f>
        <v>n.a.</v>
      </c>
      <c r="L36" s="114" t="str">
        <f t="shared" si="20"/>
        <v>n.a.</v>
      </c>
      <c r="M36" s="114" t="str">
        <f t="shared" si="20"/>
        <v>n.a.</v>
      </c>
      <c r="N36" s="114" t="str">
        <f t="shared" si="20"/>
        <v>n.a.</v>
      </c>
      <c r="O36" s="114" t="str">
        <f t="shared" si="20"/>
        <v>n.a.</v>
      </c>
      <c r="P36" s="114" t="str">
        <f t="shared" si="20"/>
        <v>n.a.</v>
      </c>
      <c r="Q36" s="114" t="str">
        <f t="shared" si="20"/>
        <v>n.a.</v>
      </c>
      <c r="R36" s="114" t="str">
        <f t="shared" si="20"/>
        <v>n.a.</v>
      </c>
      <c r="S36" s="114" t="str">
        <f t="shared" si="20"/>
        <v>n.a.</v>
      </c>
      <c r="T36" s="114" t="str">
        <f t="shared" si="20"/>
        <v>n.a.</v>
      </c>
      <c r="U36" s="114" t="str">
        <f t="shared" si="20"/>
        <v>n.a.</v>
      </c>
      <c r="V36" s="114" t="str">
        <f t="shared" si="20"/>
        <v>n.a.</v>
      </c>
      <c r="W36" s="114" t="str">
        <f t="shared" si="20"/>
        <v>n.a.</v>
      </c>
      <c r="X36" s="114" t="str">
        <f t="shared" si="20"/>
        <v>n.a.</v>
      </c>
      <c r="Y36" s="114" t="str">
        <f t="shared" si="20"/>
        <v>n.a.</v>
      </c>
      <c r="Z36" s="114" t="str">
        <f t="shared" si="20"/>
        <v>n.a.</v>
      </c>
      <c r="AA36" s="114" t="str">
        <f t="shared" si="20"/>
        <v>n.a.</v>
      </c>
      <c r="AB36" s="114" t="str">
        <f t="shared" si="20"/>
        <v>n.a.</v>
      </c>
      <c r="AC36" s="114" t="str">
        <f t="shared" si="20"/>
        <v>n.a.</v>
      </c>
      <c r="AD36" s="114" t="str">
        <f t="shared" si="20"/>
        <v>n.a.</v>
      </c>
      <c r="AE36" s="114" t="str">
        <f t="shared" si="20"/>
        <v>n.a.</v>
      </c>
      <c r="AF36" s="114" t="str">
        <f t="shared" si="20"/>
        <v>n.a.</v>
      </c>
      <c r="AG36" s="114" t="str">
        <f t="shared" si="20"/>
        <v>n.a.</v>
      </c>
      <c r="AH36" s="114" t="str">
        <f t="shared" si="20"/>
        <v>n.a.</v>
      </c>
      <c r="AI36" s="115">
        <f t="shared" si="17"/>
        <v>0</v>
      </c>
      <c r="AK36" s="76"/>
      <c r="AL36" s="62"/>
    </row>
    <row r="37" spans="2:43" ht="15" thickBot="1" x14ac:dyDescent="0.35">
      <c r="B37" s="15"/>
      <c r="C37" s="111">
        <f>C13</f>
        <v>4</v>
      </c>
      <c r="D37" s="112">
        <f>X13</f>
        <v>0</v>
      </c>
      <c r="E37" s="112">
        <f t="shared" si="15"/>
        <v>0</v>
      </c>
      <c r="F37" s="112">
        <f t="shared" si="15"/>
        <v>0</v>
      </c>
      <c r="G37" s="112">
        <f t="shared" si="18"/>
        <v>0</v>
      </c>
      <c r="H37" s="112"/>
      <c r="I37" s="116"/>
      <c r="J37" s="114" t="str">
        <f>IF(AND($I13&gt;=J$33,$I13&lt;&gt;""),$G37,"n.a.")</f>
        <v>n.a.</v>
      </c>
      <c r="K37" s="114" t="str">
        <f t="shared" ref="K37:AH37" si="21">IF(AND($I13&gt;=K$33,$I13&lt;&gt;""),$G37,"n.a.")</f>
        <v>n.a.</v>
      </c>
      <c r="L37" s="114" t="str">
        <f t="shared" si="21"/>
        <v>n.a.</v>
      </c>
      <c r="M37" s="114" t="str">
        <f t="shared" si="21"/>
        <v>n.a.</v>
      </c>
      <c r="N37" s="114" t="str">
        <f t="shared" si="21"/>
        <v>n.a.</v>
      </c>
      <c r="O37" s="114" t="str">
        <f t="shared" si="21"/>
        <v>n.a.</v>
      </c>
      <c r="P37" s="114" t="str">
        <f t="shared" si="21"/>
        <v>n.a.</v>
      </c>
      <c r="Q37" s="114" t="str">
        <f t="shared" si="21"/>
        <v>n.a.</v>
      </c>
      <c r="R37" s="114" t="str">
        <f t="shared" si="21"/>
        <v>n.a.</v>
      </c>
      <c r="S37" s="114" t="str">
        <f t="shared" si="21"/>
        <v>n.a.</v>
      </c>
      <c r="T37" s="114" t="str">
        <f t="shared" si="21"/>
        <v>n.a.</v>
      </c>
      <c r="U37" s="114" t="str">
        <f t="shared" si="21"/>
        <v>n.a.</v>
      </c>
      <c r="V37" s="114" t="str">
        <f t="shared" si="21"/>
        <v>n.a.</v>
      </c>
      <c r="W37" s="114" t="str">
        <f t="shared" si="21"/>
        <v>n.a.</v>
      </c>
      <c r="X37" s="114" t="str">
        <f t="shared" si="21"/>
        <v>n.a.</v>
      </c>
      <c r="Y37" s="114" t="str">
        <f t="shared" si="21"/>
        <v>n.a.</v>
      </c>
      <c r="Z37" s="114" t="str">
        <f t="shared" si="21"/>
        <v>n.a.</v>
      </c>
      <c r="AA37" s="114" t="str">
        <f t="shared" si="21"/>
        <v>n.a.</v>
      </c>
      <c r="AB37" s="114" t="str">
        <f t="shared" si="21"/>
        <v>n.a.</v>
      </c>
      <c r="AC37" s="114" t="str">
        <f t="shared" si="21"/>
        <v>n.a.</v>
      </c>
      <c r="AD37" s="114" t="str">
        <f t="shared" si="21"/>
        <v>n.a.</v>
      </c>
      <c r="AE37" s="114" t="str">
        <f t="shared" si="21"/>
        <v>n.a.</v>
      </c>
      <c r="AF37" s="114" t="str">
        <f t="shared" si="21"/>
        <v>n.a.</v>
      </c>
      <c r="AG37" s="114" t="str">
        <f t="shared" si="21"/>
        <v>n.a.</v>
      </c>
      <c r="AH37" s="114" t="str">
        <f t="shared" si="21"/>
        <v>n.a.</v>
      </c>
      <c r="AI37" s="115">
        <f t="shared" si="17"/>
        <v>0</v>
      </c>
      <c r="AK37" s="76"/>
      <c r="AL37" s="62"/>
    </row>
    <row r="38" spans="2:43" ht="15" thickBot="1" x14ac:dyDescent="0.35">
      <c r="B38" s="15"/>
      <c r="C38" s="111">
        <f t="shared" ref="C38:C42" si="22">C14</f>
        <v>5</v>
      </c>
      <c r="D38" s="112">
        <f t="shared" ref="D38:D42" si="23">X14</f>
        <v>0</v>
      </c>
      <c r="E38" s="112">
        <f t="shared" ref="E38:F38" si="24">AC14</f>
        <v>0</v>
      </c>
      <c r="F38" s="112">
        <f t="shared" si="24"/>
        <v>0</v>
      </c>
      <c r="G38" s="112">
        <f t="shared" ref="G38:G42" si="25">IF(D38="",0,D38-E38)</f>
        <v>0</v>
      </c>
      <c r="H38" s="112"/>
      <c r="I38" s="116"/>
      <c r="J38" s="114" t="str">
        <f t="shared" ref="J38:AH38" si="26">IF(AND($I14&gt;=J$33,$I14&lt;&gt;""),$G38,"n.a.")</f>
        <v>n.a.</v>
      </c>
      <c r="K38" s="114" t="str">
        <f t="shared" si="26"/>
        <v>n.a.</v>
      </c>
      <c r="L38" s="114" t="str">
        <f t="shared" si="26"/>
        <v>n.a.</v>
      </c>
      <c r="M38" s="114" t="str">
        <f t="shared" si="26"/>
        <v>n.a.</v>
      </c>
      <c r="N38" s="114" t="str">
        <f t="shared" si="26"/>
        <v>n.a.</v>
      </c>
      <c r="O38" s="114" t="str">
        <f t="shared" si="26"/>
        <v>n.a.</v>
      </c>
      <c r="P38" s="114" t="str">
        <f t="shared" si="26"/>
        <v>n.a.</v>
      </c>
      <c r="Q38" s="114" t="str">
        <f t="shared" si="26"/>
        <v>n.a.</v>
      </c>
      <c r="R38" s="114" t="str">
        <f t="shared" si="26"/>
        <v>n.a.</v>
      </c>
      <c r="S38" s="114" t="str">
        <f t="shared" si="26"/>
        <v>n.a.</v>
      </c>
      <c r="T38" s="114" t="str">
        <f t="shared" si="26"/>
        <v>n.a.</v>
      </c>
      <c r="U38" s="114" t="str">
        <f t="shared" si="26"/>
        <v>n.a.</v>
      </c>
      <c r="V38" s="114" t="str">
        <f t="shared" si="26"/>
        <v>n.a.</v>
      </c>
      <c r="W38" s="114" t="str">
        <f t="shared" si="26"/>
        <v>n.a.</v>
      </c>
      <c r="X38" s="114" t="str">
        <f t="shared" si="26"/>
        <v>n.a.</v>
      </c>
      <c r="Y38" s="114" t="str">
        <f t="shared" si="26"/>
        <v>n.a.</v>
      </c>
      <c r="Z38" s="114" t="str">
        <f t="shared" si="26"/>
        <v>n.a.</v>
      </c>
      <c r="AA38" s="114" t="str">
        <f t="shared" si="26"/>
        <v>n.a.</v>
      </c>
      <c r="AB38" s="114" t="str">
        <f t="shared" si="26"/>
        <v>n.a.</v>
      </c>
      <c r="AC38" s="114" t="str">
        <f t="shared" si="26"/>
        <v>n.a.</v>
      </c>
      <c r="AD38" s="114" t="str">
        <f t="shared" si="26"/>
        <v>n.a.</v>
      </c>
      <c r="AE38" s="114" t="str">
        <f t="shared" si="26"/>
        <v>n.a.</v>
      </c>
      <c r="AF38" s="114" t="str">
        <f t="shared" si="26"/>
        <v>n.a.</v>
      </c>
      <c r="AG38" s="114" t="str">
        <f t="shared" si="26"/>
        <v>n.a.</v>
      </c>
      <c r="AH38" s="114" t="str">
        <f t="shared" si="26"/>
        <v>n.a.</v>
      </c>
      <c r="AI38" s="115">
        <f t="shared" ref="AI38:AI42" si="27">SUM(J38:AH38)</f>
        <v>0</v>
      </c>
      <c r="AK38" s="76"/>
      <c r="AL38" s="62"/>
    </row>
    <row r="39" spans="2:43" ht="15" thickBot="1" x14ac:dyDescent="0.35">
      <c r="B39" s="15"/>
      <c r="C39" s="111">
        <f t="shared" si="22"/>
        <v>6</v>
      </c>
      <c r="D39" s="112">
        <f t="shared" si="23"/>
        <v>0</v>
      </c>
      <c r="E39" s="112">
        <f t="shared" ref="E39:F39" si="28">AC15</f>
        <v>0</v>
      </c>
      <c r="F39" s="112">
        <f t="shared" si="28"/>
        <v>0</v>
      </c>
      <c r="G39" s="112">
        <f t="shared" si="25"/>
        <v>0</v>
      </c>
      <c r="H39" s="112"/>
      <c r="I39" s="116"/>
      <c r="J39" s="114" t="str">
        <f t="shared" ref="J39:AH39" si="29">IF(AND($I15&gt;=J$33,$I15&lt;&gt;""),$G39,"n.a.")</f>
        <v>n.a.</v>
      </c>
      <c r="K39" s="114" t="str">
        <f t="shared" si="29"/>
        <v>n.a.</v>
      </c>
      <c r="L39" s="114" t="str">
        <f t="shared" si="29"/>
        <v>n.a.</v>
      </c>
      <c r="M39" s="114" t="str">
        <f t="shared" si="29"/>
        <v>n.a.</v>
      </c>
      <c r="N39" s="114" t="str">
        <f t="shared" si="29"/>
        <v>n.a.</v>
      </c>
      <c r="O39" s="114" t="str">
        <f t="shared" si="29"/>
        <v>n.a.</v>
      </c>
      <c r="P39" s="114" t="str">
        <f t="shared" si="29"/>
        <v>n.a.</v>
      </c>
      <c r="Q39" s="114" t="str">
        <f t="shared" si="29"/>
        <v>n.a.</v>
      </c>
      <c r="R39" s="114" t="str">
        <f t="shared" si="29"/>
        <v>n.a.</v>
      </c>
      <c r="S39" s="114" t="str">
        <f t="shared" si="29"/>
        <v>n.a.</v>
      </c>
      <c r="T39" s="114" t="str">
        <f t="shared" si="29"/>
        <v>n.a.</v>
      </c>
      <c r="U39" s="114" t="str">
        <f t="shared" si="29"/>
        <v>n.a.</v>
      </c>
      <c r="V39" s="114" t="str">
        <f t="shared" si="29"/>
        <v>n.a.</v>
      </c>
      <c r="W39" s="114" t="str">
        <f t="shared" si="29"/>
        <v>n.a.</v>
      </c>
      <c r="X39" s="114" t="str">
        <f t="shared" si="29"/>
        <v>n.a.</v>
      </c>
      <c r="Y39" s="114" t="str">
        <f t="shared" si="29"/>
        <v>n.a.</v>
      </c>
      <c r="Z39" s="114" t="str">
        <f t="shared" si="29"/>
        <v>n.a.</v>
      </c>
      <c r="AA39" s="114" t="str">
        <f t="shared" si="29"/>
        <v>n.a.</v>
      </c>
      <c r="AB39" s="114" t="str">
        <f t="shared" si="29"/>
        <v>n.a.</v>
      </c>
      <c r="AC39" s="114" t="str">
        <f t="shared" si="29"/>
        <v>n.a.</v>
      </c>
      <c r="AD39" s="114" t="str">
        <f t="shared" si="29"/>
        <v>n.a.</v>
      </c>
      <c r="AE39" s="114" t="str">
        <f t="shared" si="29"/>
        <v>n.a.</v>
      </c>
      <c r="AF39" s="114" t="str">
        <f t="shared" si="29"/>
        <v>n.a.</v>
      </c>
      <c r="AG39" s="114" t="str">
        <f t="shared" si="29"/>
        <v>n.a.</v>
      </c>
      <c r="AH39" s="114" t="str">
        <f t="shared" si="29"/>
        <v>n.a.</v>
      </c>
      <c r="AI39" s="115">
        <f t="shared" si="27"/>
        <v>0</v>
      </c>
      <c r="AK39" s="76"/>
      <c r="AL39" s="62"/>
    </row>
    <row r="40" spans="2:43" ht="15" thickBot="1" x14ac:dyDescent="0.35">
      <c r="B40" s="15"/>
      <c r="C40" s="111">
        <f t="shared" si="22"/>
        <v>7</v>
      </c>
      <c r="D40" s="112">
        <f t="shared" si="23"/>
        <v>0</v>
      </c>
      <c r="E40" s="112">
        <f t="shared" ref="E40:F40" si="30">AC16</f>
        <v>0</v>
      </c>
      <c r="F40" s="112">
        <f t="shared" si="30"/>
        <v>0</v>
      </c>
      <c r="G40" s="112">
        <f t="shared" si="25"/>
        <v>0</v>
      </c>
      <c r="H40" s="112"/>
      <c r="I40" s="116"/>
      <c r="J40" s="114" t="str">
        <f t="shared" ref="J40:AH40" si="31">IF(AND($I16&gt;=J$33,$I16&lt;&gt;""),$G40,"n.a.")</f>
        <v>n.a.</v>
      </c>
      <c r="K40" s="114" t="str">
        <f t="shared" si="31"/>
        <v>n.a.</v>
      </c>
      <c r="L40" s="114" t="str">
        <f t="shared" si="31"/>
        <v>n.a.</v>
      </c>
      <c r="M40" s="114" t="str">
        <f t="shared" si="31"/>
        <v>n.a.</v>
      </c>
      <c r="N40" s="114" t="str">
        <f t="shared" si="31"/>
        <v>n.a.</v>
      </c>
      <c r="O40" s="114" t="str">
        <f t="shared" si="31"/>
        <v>n.a.</v>
      </c>
      <c r="P40" s="114" t="str">
        <f t="shared" si="31"/>
        <v>n.a.</v>
      </c>
      <c r="Q40" s="114" t="str">
        <f t="shared" si="31"/>
        <v>n.a.</v>
      </c>
      <c r="R40" s="114" t="str">
        <f t="shared" si="31"/>
        <v>n.a.</v>
      </c>
      <c r="S40" s="114" t="str">
        <f t="shared" si="31"/>
        <v>n.a.</v>
      </c>
      <c r="T40" s="114" t="str">
        <f t="shared" si="31"/>
        <v>n.a.</v>
      </c>
      <c r="U40" s="114" t="str">
        <f t="shared" si="31"/>
        <v>n.a.</v>
      </c>
      <c r="V40" s="114" t="str">
        <f t="shared" si="31"/>
        <v>n.a.</v>
      </c>
      <c r="W40" s="114" t="str">
        <f t="shared" si="31"/>
        <v>n.a.</v>
      </c>
      <c r="X40" s="114" t="str">
        <f t="shared" si="31"/>
        <v>n.a.</v>
      </c>
      <c r="Y40" s="114" t="str">
        <f t="shared" si="31"/>
        <v>n.a.</v>
      </c>
      <c r="Z40" s="114" t="str">
        <f t="shared" si="31"/>
        <v>n.a.</v>
      </c>
      <c r="AA40" s="114" t="str">
        <f t="shared" si="31"/>
        <v>n.a.</v>
      </c>
      <c r="AB40" s="114" t="str">
        <f t="shared" si="31"/>
        <v>n.a.</v>
      </c>
      <c r="AC40" s="114" t="str">
        <f t="shared" si="31"/>
        <v>n.a.</v>
      </c>
      <c r="AD40" s="114" t="str">
        <f t="shared" si="31"/>
        <v>n.a.</v>
      </c>
      <c r="AE40" s="114" t="str">
        <f t="shared" si="31"/>
        <v>n.a.</v>
      </c>
      <c r="AF40" s="114" t="str">
        <f t="shared" si="31"/>
        <v>n.a.</v>
      </c>
      <c r="AG40" s="114" t="str">
        <f t="shared" si="31"/>
        <v>n.a.</v>
      </c>
      <c r="AH40" s="114" t="str">
        <f t="shared" si="31"/>
        <v>n.a.</v>
      </c>
      <c r="AI40" s="115">
        <f t="shared" si="27"/>
        <v>0</v>
      </c>
      <c r="AK40" s="76"/>
      <c r="AL40" s="62"/>
    </row>
    <row r="41" spans="2:43" ht="15" thickBot="1" x14ac:dyDescent="0.35">
      <c r="B41" s="15"/>
      <c r="C41" s="111">
        <f t="shared" si="22"/>
        <v>8</v>
      </c>
      <c r="D41" s="112">
        <f t="shared" si="23"/>
        <v>0</v>
      </c>
      <c r="E41" s="112">
        <f t="shared" ref="E41:F41" si="32">AC17</f>
        <v>0</v>
      </c>
      <c r="F41" s="112">
        <f t="shared" si="32"/>
        <v>0</v>
      </c>
      <c r="G41" s="112">
        <f t="shared" si="25"/>
        <v>0</v>
      </c>
      <c r="H41" s="112"/>
      <c r="I41" s="116"/>
      <c r="J41" s="114" t="str">
        <f t="shared" ref="J41:AH41" si="33">IF(AND($I17&gt;=J$33,$I17&lt;&gt;""),$G41,"n.a.")</f>
        <v>n.a.</v>
      </c>
      <c r="K41" s="114" t="str">
        <f t="shared" si="33"/>
        <v>n.a.</v>
      </c>
      <c r="L41" s="114" t="str">
        <f t="shared" si="33"/>
        <v>n.a.</v>
      </c>
      <c r="M41" s="114" t="str">
        <f t="shared" si="33"/>
        <v>n.a.</v>
      </c>
      <c r="N41" s="114" t="str">
        <f t="shared" si="33"/>
        <v>n.a.</v>
      </c>
      <c r="O41" s="114" t="str">
        <f t="shared" si="33"/>
        <v>n.a.</v>
      </c>
      <c r="P41" s="114" t="str">
        <f t="shared" si="33"/>
        <v>n.a.</v>
      </c>
      <c r="Q41" s="114" t="str">
        <f t="shared" si="33"/>
        <v>n.a.</v>
      </c>
      <c r="R41" s="114" t="str">
        <f t="shared" si="33"/>
        <v>n.a.</v>
      </c>
      <c r="S41" s="114" t="str">
        <f t="shared" si="33"/>
        <v>n.a.</v>
      </c>
      <c r="T41" s="114" t="str">
        <f t="shared" si="33"/>
        <v>n.a.</v>
      </c>
      <c r="U41" s="114" t="str">
        <f t="shared" si="33"/>
        <v>n.a.</v>
      </c>
      <c r="V41" s="114" t="str">
        <f t="shared" si="33"/>
        <v>n.a.</v>
      </c>
      <c r="W41" s="114" t="str">
        <f t="shared" si="33"/>
        <v>n.a.</v>
      </c>
      <c r="X41" s="114" t="str">
        <f t="shared" si="33"/>
        <v>n.a.</v>
      </c>
      <c r="Y41" s="114" t="str">
        <f t="shared" si="33"/>
        <v>n.a.</v>
      </c>
      <c r="Z41" s="114" t="str">
        <f t="shared" si="33"/>
        <v>n.a.</v>
      </c>
      <c r="AA41" s="114" t="str">
        <f t="shared" si="33"/>
        <v>n.a.</v>
      </c>
      <c r="AB41" s="114" t="str">
        <f t="shared" si="33"/>
        <v>n.a.</v>
      </c>
      <c r="AC41" s="114" t="str">
        <f t="shared" si="33"/>
        <v>n.a.</v>
      </c>
      <c r="AD41" s="114" t="str">
        <f t="shared" si="33"/>
        <v>n.a.</v>
      </c>
      <c r="AE41" s="114" t="str">
        <f t="shared" si="33"/>
        <v>n.a.</v>
      </c>
      <c r="AF41" s="114" t="str">
        <f t="shared" si="33"/>
        <v>n.a.</v>
      </c>
      <c r="AG41" s="114" t="str">
        <f t="shared" si="33"/>
        <v>n.a.</v>
      </c>
      <c r="AH41" s="114" t="str">
        <f t="shared" si="33"/>
        <v>n.a.</v>
      </c>
      <c r="AI41" s="115">
        <f t="shared" si="27"/>
        <v>0</v>
      </c>
      <c r="AK41" s="76"/>
      <c r="AL41" s="62"/>
    </row>
    <row r="42" spans="2:43" ht="15" thickBot="1" x14ac:dyDescent="0.35">
      <c r="B42" s="15"/>
      <c r="C42" s="111">
        <f t="shared" si="22"/>
        <v>9</v>
      </c>
      <c r="D42" s="112">
        <f t="shared" si="23"/>
        <v>0</v>
      </c>
      <c r="E42" s="112">
        <f t="shared" ref="E42:F42" si="34">AC18</f>
        <v>0</v>
      </c>
      <c r="F42" s="112">
        <f t="shared" si="34"/>
        <v>0</v>
      </c>
      <c r="G42" s="112">
        <f t="shared" si="25"/>
        <v>0</v>
      </c>
      <c r="H42" s="112"/>
      <c r="I42" s="116"/>
      <c r="J42" s="114" t="str">
        <f t="shared" ref="J42:AH42" si="35">IF(AND($I18&gt;=J$33,$I18&lt;&gt;""),$G42,"n.a.")</f>
        <v>n.a.</v>
      </c>
      <c r="K42" s="114" t="str">
        <f t="shared" si="35"/>
        <v>n.a.</v>
      </c>
      <c r="L42" s="114" t="str">
        <f t="shared" si="35"/>
        <v>n.a.</v>
      </c>
      <c r="M42" s="114" t="str">
        <f t="shared" si="35"/>
        <v>n.a.</v>
      </c>
      <c r="N42" s="114" t="str">
        <f t="shared" si="35"/>
        <v>n.a.</v>
      </c>
      <c r="O42" s="114" t="str">
        <f t="shared" si="35"/>
        <v>n.a.</v>
      </c>
      <c r="P42" s="114" t="str">
        <f t="shared" si="35"/>
        <v>n.a.</v>
      </c>
      <c r="Q42" s="114" t="str">
        <f t="shared" si="35"/>
        <v>n.a.</v>
      </c>
      <c r="R42" s="114" t="str">
        <f t="shared" si="35"/>
        <v>n.a.</v>
      </c>
      <c r="S42" s="114" t="str">
        <f t="shared" si="35"/>
        <v>n.a.</v>
      </c>
      <c r="T42" s="114" t="str">
        <f t="shared" si="35"/>
        <v>n.a.</v>
      </c>
      <c r="U42" s="114" t="str">
        <f t="shared" si="35"/>
        <v>n.a.</v>
      </c>
      <c r="V42" s="114" t="str">
        <f t="shared" si="35"/>
        <v>n.a.</v>
      </c>
      <c r="W42" s="114" t="str">
        <f t="shared" si="35"/>
        <v>n.a.</v>
      </c>
      <c r="X42" s="114" t="str">
        <f t="shared" si="35"/>
        <v>n.a.</v>
      </c>
      <c r="Y42" s="114" t="str">
        <f t="shared" si="35"/>
        <v>n.a.</v>
      </c>
      <c r="Z42" s="114" t="str">
        <f t="shared" si="35"/>
        <v>n.a.</v>
      </c>
      <c r="AA42" s="114" t="str">
        <f t="shared" si="35"/>
        <v>n.a.</v>
      </c>
      <c r="AB42" s="114" t="str">
        <f t="shared" si="35"/>
        <v>n.a.</v>
      </c>
      <c r="AC42" s="114" t="str">
        <f t="shared" si="35"/>
        <v>n.a.</v>
      </c>
      <c r="AD42" s="114" t="str">
        <f t="shared" si="35"/>
        <v>n.a.</v>
      </c>
      <c r="AE42" s="114" t="str">
        <f t="shared" si="35"/>
        <v>n.a.</v>
      </c>
      <c r="AF42" s="114" t="str">
        <f t="shared" si="35"/>
        <v>n.a.</v>
      </c>
      <c r="AG42" s="114" t="str">
        <f t="shared" si="35"/>
        <v>n.a.</v>
      </c>
      <c r="AH42" s="114" t="str">
        <f t="shared" si="35"/>
        <v>n.a.</v>
      </c>
      <c r="AI42" s="115">
        <f t="shared" si="27"/>
        <v>0</v>
      </c>
      <c r="AK42" s="76"/>
      <c r="AL42" s="62"/>
    </row>
    <row r="43" spans="2:43" ht="15" thickBot="1" x14ac:dyDescent="0.35">
      <c r="B43" s="15"/>
      <c r="C43" s="111">
        <f>C19</f>
        <v>10</v>
      </c>
      <c r="D43" s="112">
        <f>X19</f>
        <v>0</v>
      </c>
      <c r="E43" s="112">
        <f t="shared" ref="E43:F43" si="36">AC19</f>
        <v>0</v>
      </c>
      <c r="F43" s="112">
        <f t="shared" si="36"/>
        <v>0</v>
      </c>
      <c r="G43" s="112">
        <f t="shared" si="18"/>
        <v>0</v>
      </c>
      <c r="H43" s="112"/>
      <c r="I43" s="116"/>
      <c r="J43" s="114" t="str">
        <f t="shared" ref="J43:AH43" si="37">IF(AND($I19&gt;=J$33,$I19&lt;&gt;""),$G43,"n.a.")</f>
        <v>n.a.</v>
      </c>
      <c r="K43" s="114" t="str">
        <f t="shared" si="37"/>
        <v>n.a.</v>
      </c>
      <c r="L43" s="114" t="str">
        <f t="shared" si="37"/>
        <v>n.a.</v>
      </c>
      <c r="M43" s="114" t="str">
        <f t="shared" si="37"/>
        <v>n.a.</v>
      </c>
      <c r="N43" s="114" t="str">
        <f t="shared" si="37"/>
        <v>n.a.</v>
      </c>
      <c r="O43" s="114" t="str">
        <f t="shared" si="37"/>
        <v>n.a.</v>
      </c>
      <c r="P43" s="114" t="str">
        <f t="shared" si="37"/>
        <v>n.a.</v>
      </c>
      <c r="Q43" s="114" t="str">
        <f t="shared" si="37"/>
        <v>n.a.</v>
      </c>
      <c r="R43" s="114" t="str">
        <f t="shared" si="37"/>
        <v>n.a.</v>
      </c>
      <c r="S43" s="114" t="str">
        <f t="shared" si="37"/>
        <v>n.a.</v>
      </c>
      <c r="T43" s="114" t="str">
        <f t="shared" si="37"/>
        <v>n.a.</v>
      </c>
      <c r="U43" s="114" t="str">
        <f t="shared" si="37"/>
        <v>n.a.</v>
      </c>
      <c r="V43" s="114" t="str">
        <f t="shared" si="37"/>
        <v>n.a.</v>
      </c>
      <c r="W43" s="114" t="str">
        <f t="shared" si="37"/>
        <v>n.a.</v>
      </c>
      <c r="X43" s="114" t="str">
        <f t="shared" si="37"/>
        <v>n.a.</v>
      </c>
      <c r="Y43" s="114" t="str">
        <f t="shared" si="37"/>
        <v>n.a.</v>
      </c>
      <c r="Z43" s="114" t="str">
        <f t="shared" si="37"/>
        <v>n.a.</v>
      </c>
      <c r="AA43" s="114" t="str">
        <f t="shared" si="37"/>
        <v>n.a.</v>
      </c>
      <c r="AB43" s="114" t="str">
        <f t="shared" si="37"/>
        <v>n.a.</v>
      </c>
      <c r="AC43" s="114" t="str">
        <f t="shared" si="37"/>
        <v>n.a.</v>
      </c>
      <c r="AD43" s="114" t="str">
        <f t="shared" si="37"/>
        <v>n.a.</v>
      </c>
      <c r="AE43" s="114" t="str">
        <f t="shared" si="37"/>
        <v>n.a.</v>
      </c>
      <c r="AF43" s="114" t="str">
        <f t="shared" si="37"/>
        <v>n.a.</v>
      </c>
      <c r="AG43" s="114" t="str">
        <f t="shared" si="37"/>
        <v>n.a.</v>
      </c>
      <c r="AH43" s="114" t="str">
        <f t="shared" si="37"/>
        <v>n.a.</v>
      </c>
      <c r="AI43" s="115">
        <f t="shared" si="17"/>
        <v>0</v>
      </c>
      <c r="AK43" s="76"/>
      <c r="AL43" s="62"/>
    </row>
    <row r="44" spans="2:43" ht="15" thickBot="1" x14ac:dyDescent="0.35">
      <c r="B44" s="15"/>
      <c r="C44" s="111">
        <f>C21</f>
        <v>11</v>
      </c>
      <c r="D44" s="117">
        <f>X21</f>
        <v>0</v>
      </c>
      <c r="E44" s="117">
        <f t="shared" ref="E44:F48" si="38">AC21</f>
        <v>0</v>
      </c>
      <c r="F44" s="117">
        <f t="shared" si="38"/>
        <v>0</v>
      </c>
      <c r="G44" s="112">
        <f t="shared" si="18"/>
        <v>0</v>
      </c>
      <c r="H44" s="112"/>
      <c r="I44" s="118"/>
      <c r="J44" s="114" t="str">
        <f>IF(AND($I21&gt;=J$33,$I21&lt;&gt;""),$G44,"n.a.")</f>
        <v>n.a.</v>
      </c>
      <c r="K44" s="114" t="str">
        <f t="shared" ref="K44:AH44" si="39">IF(AND($I21&gt;=K$33,$I21&lt;&gt;""),$G44,"n.a.")</f>
        <v>n.a.</v>
      </c>
      <c r="L44" s="114" t="str">
        <f t="shared" si="39"/>
        <v>n.a.</v>
      </c>
      <c r="M44" s="114" t="str">
        <f t="shared" si="39"/>
        <v>n.a.</v>
      </c>
      <c r="N44" s="114" t="str">
        <f t="shared" si="39"/>
        <v>n.a.</v>
      </c>
      <c r="O44" s="114" t="str">
        <f t="shared" si="39"/>
        <v>n.a.</v>
      </c>
      <c r="P44" s="114" t="str">
        <f t="shared" si="39"/>
        <v>n.a.</v>
      </c>
      <c r="Q44" s="114" t="str">
        <f t="shared" si="39"/>
        <v>n.a.</v>
      </c>
      <c r="R44" s="114" t="str">
        <f t="shared" si="39"/>
        <v>n.a.</v>
      </c>
      <c r="S44" s="114" t="str">
        <f t="shared" si="39"/>
        <v>n.a.</v>
      </c>
      <c r="T44" s="114" t="str">
        <f t="shared" si="39"/>
        <v>n.a.</v>
      </c>
      <c r="U44" s="114" t="str">
        <f t="shared" si="39"/>
        <v>n.a.</v>
      </c>
      <c r="V44" s="114" t="str">
        <f t="shared" si="39"/>
        <v>n.a.</v>
      </c>
      <c r="W44" s="114" t="str">
        <f t="shared" si="39"/>
        <v>n.a.</v>
      </c>
      <c r="X44" s="114" t="str">
        <f t="shared" si="39"/>
        <v>n.a.</v>
      </c>
      <c r="Y44" s="114" t="str">
        <f t="shared" si="39"/>
        <v>n.a.</v>
      </c>
      <c r="Z44" s="114" t="str">
        <f t="shared" si="39"/>
        <v>n.a.</v>
      </c>
      <c r="AA44" s="114" t="str">
        <f t="shared" si="39"/>
        <v>n.a.</v>
      </c>
      <c r="AB44" s="114" t="str">
        <f t="shared" si="39"/>
        <v>n.a.</v>
      </c>
      <c r="AC44" s="114" t="str">
        <f t="shared" si="39"/>
        <v>n.a.</v>
      </c>
      <c r="AD44" s="114" t="str">
        <f t="shared" si="39"/>
        <v>n.a.</v>
      </c>
      <c r="AE44" s="114" t="str">
        <f t="shared" si="39"/>
        <v>n.a.</v>
      </c>
      <c r="AF44" s="114" t="str">
        <f t="shared" si="39"/>
        <v>n.a.</v>
      </c>
      <c r="AG44" s="114" t="str">
        <f t="shared" si="39"/>
        <v>n.a.</v>
      </c>
      <c r="AH44" s="114" t="str">
        <f t="shared" si="39"/>
        <v>n.a.</v>
      </c>
      <c r="AI44" s="115">
        <f t="shared" si="17"/>
        <v>0</v>
      </c>
      <c r="AK44" s="76"/>
      <c r="AL44" s="62"/>
    </row>
    <row r="45" spans="2:43" ht="15" thickBot="1" x14ac:dyDescent="0.35">
      <c r="B45" s="15"/>
      <c r="C45" s="111">
        <f>C22</f>
        <v>12</v>
      </c>
      <c r="D45" s="117">
        <f>X22</f>
        <v>0</v>
      </c>
      <c r="E45" s="117">
        <f t="shared" si="38"/>
        <v>0</v>
      </c>
      <c r="F45" s="117">
        <f t="shared" si="38"/>
        <v>0</v>
      </c>
      <c r="G45" s="112">
        <f t="shared" si="18"/>
        <v>0</v>
      </c>
      <c r="H45" s="112"/>
      <c r="I45" s="118"/>
      <c r="J45" s="114" t="str">
        <f>IF(AND($I22&gt;=J$33,$I22&lt;&gt;""),$G45,"n.a.")</f>
        <v>n.a.</v>
      </c>
      <c r="K45" s="114" t="str">
        <f t="shared" ref="K45:AH45" si="40">IF(AND($I22&gt;=K$33,$I22&lt;&gt;""),$G45,"n.a.")</f>
        <v>n.a.</v>
      </c>
      <c r="L45" s="114" t="str">
        <f t="shared" si="40"/>
        <v>n.a.</v>
      </c>
      <c r="M45" s="114" t="str">
        <f t="shared" si="40"/>
        <v>n.a.</v>
      </c>
      <c r="N45" s="114" t="str">
        <f t="shared" si="40"/>
        <v>n.a.</v>
      </c>
      <c r="O45" s="114" t="str">
        <f t="shared" si="40"/>
        <v>n.a.</v>
      </c>
      <c r="P45" s="114" t="str">
        <f t="shared" si="40"/>
        <v>n.a.</v>
      </c>
      <c r="Q45" s="114" t="str">
        <f t="shared" si="40"/>
        <v>n.a.</v>
      </c>
      <c r="R45" s="114" t="str">
        <f t="shared" si="40"/>
        <v>n.a.</v>
      </c>
      <c r="S45" s="114" t="str">
        <f t="shared" si="40"/>
        <v>n.a.</v>
      </c>
      <c r="T45" s="114" t="str">
        <f t="shared" si="40"/>
        <v>n.a.</v>
      </c>
      <c r="U45" s="114" t="str">
        <f t="shared" si="40"/>
        <v>n.a.</v>
      </c>
      <c r="V45" s="114" t="str">
        <f t="shared" si="40"/>
        <v>n.a.</v>
      </c>
      <c r="W45" s="114" t="str">
        <f t="shared" si="40"/>
        <v>n.a.</v>
      </c>
      <c r="X45" s="114" t="str">
        <f t="shared" si="40"/>
        <v>n.a.</v>
      </c>
      <c r="Y45" s="114" t="str">
        <f t="shared" si="40"/>
        <v>n.a.</v>
      </c>
      <c r="Z45" s="114" t="str">
        <f t="shared" si="40"/>
        <v>n.a.</v>
      </c>
      <c r="AA45" s="114" t="str">
        <f t="shared" si="40"/>
        <v>n.a.</v>
      </c>
      <c r="AB45" s="114" t="str">
        <f t="shared" si="40"/>
        <v>n.a.</v>
      </c>
      <c r="AC45" s="114" t="str">
        <f t="shared" si="40"/>
        <v>n.a.</v>
      </c>
      <c r="AD45" s="114" t="str">
        <f t="shared" si="40"/>
        <v>n.a.</v>
      </c>
      <c r="AE45" s="114" t="str">
        <f t="shared" si="40"/>
        <v>n.a.</v>
      </c>
      <c r="AF45" s="114" t="str">
        <f t="shared" si="40"/>
        <v>n.a.</v>
      </c>
      <c r="AG45" s="114" t="str">
        <f t="shared" si="40"/>
        <v>n.a.</v>
      </c>
      <c r="AH45" s="114" t="str">
        <f t="shared" si="40"/>
        <v>n.a.</v>
      </c>
      <c r="AI45" s="115">
        <f>SUM(J45:AH45)</f>
        <v>0</v>
      </c>
      <c r="AK45" s="76"/>
      <c r="AL45" s="62"/>
    </row>
    <row r="46" spans="2:43" ht="15" thickBot="1" x14ac:dyDescent="0.35">
      <c r="B46" s="15"/>
      <c r="C46" s="111">
        <f>C23</f>
        <v>13</v>
      </c>
      <c r="D46" s="117">
        <f>X23</f>
        <v>0</v>
      </c>
      <c r="E46" s="117">
        <f t="shared" si="38"/>
        <v>0</v>
      </c>
      <c r="F46" s="117">
        <f t="shared" si="38"/>
        <v>0</v>
      </c>
      <c r="G46" s="112">
        <f t="shared" si="18"/>
        <v>0</v>
      </c>
      <c r="H46" s="112"/>
      <c r="I46" s="118"/>
      <c r="J46" s="114" t="str">
        <f>IF(AND($I23&gt;=J$33,$I23&lt;&gt;""),$G46,"n.a.")</f>
        <v>n.a.</v>
      </c>
      <c r="K46" s="114" t="str">
        <f t="shared" ref="K46:AH46" si="41">IF(AND($I23&gt;=K$33,$I23&lt;&gt;""),$G46,"n.a.")</f>
        <v>n.a.</v>
      </c>
      <c r="L46" s="114" t="str">
        <f t="shared" si="41"/>
        <v>n.a.</v>
      </c>
      <c r="M46" s="114" t="str">
        <f t="shared" si="41"/>
        <v>n.a.</v>
      </c>
      <c r="N46" s="114" t="str">
        <f t="shared" si="41"/>
        <v>n.a.</v>
      </c>
      <c r="O46" s="114" t="str">
        <f t="shared" si="41"/>
        <v>n.a.</v>
      </c>
      <c r="P46" s="114" t="str">
        <f t="shared" si="41"/>
        <v>n.a.</v>
      </c>
      <c r="Q46" s="114" t="str">
        <f t="shared" si="41"/>
        <v>n.a.</v>
      </c>
      <c r="R46" s="114" t="str">
        <f t="shared" si="41"/>
        <v>n.a.</v>
      </c>
      <c r="S46" s="114" t="str">
        <f t="shared" si="41"/>
        <v>n.a.</v>
      </c>
      <c r="T46" s="114" t="str">
        <f t="shared" si="41"/>
        <v>n.a.</v>
      </c>
      <c r="U46" s="114" t="str">
        <f t="shared" si="41"/>
        <v>n.a.</v>
      </c>
      <c r="V46" s="114" t="str">
        <f t="shared" si="41"/>
        <v>n.a.</v>
      </c>
      <c r="W46" s="114" t="str">
        <f t="shared" si="41"/>
        <v>n.a.</v>
      </c>
      <c r="X46" s="114" t="str">
        <f t="shared" si="41"/>
        <v>n.a.</v>
      </c>
      <c r="Y46" s="114" t="str">
        <f t="shared" si="41"/>
        <v>n.a.</v>
      </c>
      <c r="Z46" s="114" t="str">
        <f t="shared" si="41"/>
        <v>n.a.</v>
      </c>
      <c r="AA46" s="114" t="str">
        <f t="shared" si="41"/>
        <v>n.a.</v>
      </c>
      <c r="AB46" s="114" t="str">
        <f t="shared" si="41"/>
        <v>n.a.</v>
      </c>
      <c r="AC46" s="114" t="str">
        <f t="shared" si="41"/>
        <v>n.a.</v>
      </c>
      <c r="AD46" s="114" t="str">
        <f t="shared" si="41"/>
        <v>n.a.</v>
      </c>
      <c r="AE46" s="114" t="str">
        <f t="shared" si="41"/>
        <v>n.a.</v>
      </c>
      <c r="AF46" s="114" t="str">
        <f t="shared" si="41"/>
        <v>n.a.</v>
      </c>
      <c r="AG46" s="114" t="str">
        <f t="shared" si="41"/>
        <v>n.a.</v>
      </c>
      <c r="AH46" s="114" t="str">
        <f t="shared" si="41"/>
        <v>n.a.</v>
      </c>
      <c r="AI46" s="115">
        <f t="shared" si="17"/>
        <v>0</v>
      </c>
      <c r="AK46" s="76"/>
      <c r="AL46" s="62"/>
    </row>
    <row r="47" spans="2:43" ht="15" thickBot="1" x14ac:dyDescent="0.35">
      <c r="B47" s="15"/>
      <c r="C47" s="111">
        <f>C24</f>
        <v>14</v>
      </c>
      <c r="D47" s="117">
        <f>X24</f>
        <v>0</v>
      </c>
      <c r="E47" s="117">
        <f t="shared" si="38"/>
        <v>0</v>
      </c>
      <c r="F47" s="117">
        <f t="shared" si="38"/>
        <v>0</v>
      </c>
      <c r="G47" s="112">
        <f t="shared" si="18"/>
        <v>0</v>
      </c>
      <c r="H47" s="112"/>
      <c r="I47" s="118"/>
      <c r="J47" s="114" t="str">
        <f>IF(AND($I24&gt;=J$33,$I24&lt;&gt;""),$G47,"n.a.")</f>
        <v>n.a.</v>
      </c>
      <c r="K47" s="114" t="str">
        <f t="shared" ref="K47:AH47" si="42">IF(AND($I24&gt;=K$33,$I24&lt;&gt;""),$G47,"n.a.")</f>
        <v>n.a.</v>
      </c>
      <c r="L47" s="114" t="str">
        <f t="shared" si="42"/>
        <v>n.a.</v>
      </c>
      <c r="M47" s="114" t="str">
        <f t="shared" si="42"/>
        <v>n.a.</v>
      </c>
      <c r="N47" s="114" t="str">
        <f t="shared" si="42"/>
        <v>n.a.</v>
      </c>
      <c r="O47" s="114" t="str">
        <f t="shared" si="42"/>
        <v>n.a.</v>
      </c>
      <c r="P47" s="114" t="str">
        <f t="shared" si="42"/>
        <v>n.a.</v>
      </c>
      <c r="Q47" s="114" t="str">
        <f t="shared" si="42"/>
        <v>n.a.</v>
      </c>
      <c r="R47" s="114" t="str">
        <f t="shared" si="42"/>
        <v>n.a.</v>
      </c>
      <c r="S47" s="114" t="str">
        <f t="shared" si="42"/>
        <v>n.a.</v>
      </c>
      <c r="T47" s="114" t="str">
        <f t="shared" si="42"/>
        <v>n.a.</v>
      </c>
      <c r="U47" s="114" t="str">
        <f t="shared" si="42"/>
        <v>n.a.</v>
      </c>
      <c r="V47" s="114" t="str">
        <f t="shared" si="42"/>
        <v>n.a.</v>
      </c>
      <c r="W47" s="114" t="str">
        <f t="shared" si="42"/>
        <v>n.a.</v>
      </c>
      <c r="X47" s="114" t="str">
        <f t="shared" si="42"/>
        <v>n.a.</v>
      </c>
      <c r="Y47" s="114" t="str">
        <f t="shared" si="42"/>
        <v>n.a.</v>
      </c>
      <c r="Z47" s="114" t="str">
        <f t="shared" si="42"/>
        <v>n.a.</v>
      </c>
      <c r="AA47" s="114" t="str">
        <f t="shared" si="42"/>
        <v>n.a.</v>
      </c>
      <c r="AB47" s="114" t="str">
        <f t="shared" si="42"/>
        <v>n.a.</v>
      </c>
      <c r="AC47" s="114" t="str">
        <f t="shared" si="42"/>
        <v>n.a.</v>
      </c>
      <c r="AD47" s="114" t="str">
        <f t="shared" si="42"/>
        <v>n.a.</v>
      </c>
      <c r="AE47" s="114" t="str">
        <f t="shared" si="42"/>
        <v>n.a.</v>
      </c>
      <c r="AF47" s="114" t="str">
        <f t="shared" si="42"/>
        <v>n.a.</v>
      </c>
      <c r="AG47" s="114" t="str">
        <f t="shared" si="42"/>
        <v>n.a.</v>
      </c>
      <c r="AH47" s="114" t="str">
        <f t="shared" si="42"/>
        <v>n.a.</v>
      </c>
      <c r="AI47" s="115">
        <f t="shared" si="17"/>
        <v>0</v>
      </c>
      <c r="AK47" s="76"/>
      <c r="AL47" s="62"/>
    </row>
    <row r="48" spans="2:43" ht="15" thickBot="1" x14ac:dyDescent="0.35">
      <c r="B48" s="15"/>
      <c r="C48" s="111">
        <f>C25</f>
        <v>15</v>
      </c>
      <c r="D48" s="117">
        <f>X25</f>
        <v>0</v>
      </c>
      <c r="E48" s="117">
        <f t="shared" si="38"/>
        <v>0</v>
      </c>
      <c r="F48" s="117">
        <f t="shared" si="38"/>
        <v>0</v>
      </c>
      <c r="G48" s="112">
        <f t="shared" si="18"/>
        <v>0</v>
      </c>
      <c r="H48" s="112"/>
      <c r="I48" s="118"/>
      <c r="J48" s="114" t="str">
        <f>IF(AND($I25&gt;=J$33,$I25&lt;&gt;""),$G48,"n.a.")</f>
        <v>n.a.</v>
      </c>
      <c r="K48" s="114" t="str">
        <f t="shared" ref="K48:AH48" si="43">IF(AND($I25&gt;=K$33,$I25&lt;&gt;""),$G48,"n.a.")</f>
        <v>n.a.</v>
      </c>
      <c r="L48" s="114" t="str">
        <f t="shared" si="43"/>
        <v>n.a.</v>
      </c>
      <c r="M48" s="114" t="str">
        <f t="shared" si="43"/>
        <v>n.a.</v>
      </c>
      <c r="N48" s="114" t="str">
        <f t="shared" si="43"/>
        <v>n.a.</v>
      </c>
      <c r="O48" s="114" t="str">
        <f t="shared" si="43"/>
        <v>n.a.</v>
      </c>
      <c r="P48" s="114" t="str">
        <f t="shared" si="43"/>
        <v>n.a.</v>
      </c>
      <c r="Q48" s="114" t="str">
        <f t="shared" si="43"/>
        <v>n.a.</v>
      </c>
      <c r="R48" s="114" t="str">
        <f t="shared" si="43"/>
        <v>n.a.</v>
      </c>
      <c r="S48" s="114" t="str">
        <f t="shared" si="43"/>
        <v>n.a.</v>
      </c>
      <c r="T48" s="114" t="str">
        <f t="shared" si="43"/>
        <v>n.a.</v>
      </c>
      <c r="U48" s="114" t="str">
        <f t="shared" si="43"/>
        <v>n.a.</v>
      </c>
      <c r="V48" s="114" t="str">
        <f t="shared" si="43"/>
        <v>n.a.</v>
      </c>
      <c r="W48" s="114" t="str">
        <f t="shared" si="43"/>
        <v>n.a.</v>
      </c>
      <c r="X48" s="114" t="str">
        <f t="shared" si="43"/>
        <v>n.a.</v>
      </c>
      <c r="Y48" s="114" t="str">
        <f t="shared" si="43"/>
        <v>n.a.</v>
      </c>
      <c r="Z48" s="114" t="str">
        <f t="shared" si="43"/>
        <v>n.a.</v>
      </c>
      <c r="AA48" s="114" t="str">
        <f t="shared" si="43"/>
        <v>n.a.</v>
      </c>
      <c r="AB48" s="114" t="str">
        <f t="shared" si="43"/>
        <v>n.a.</v>
      </c>
      <c r="AC48" s="114" t="str">
        <f t="shared" si="43"/>
        <v>n.a.</v>
      </c>
      <c r="AD48" s="114" t="str">
        <f t="shared" si="43"/>
        <v>n.a.</v>
      </c>
      <c r="AE48" s="114" t="str">
        <f t="shared" si="43"/>
        <v>n.a.</v>
      </c>
      <c r="AF48" s="114" t="str">
        <f t="shared" si="43"/>
        <v>n.a.</v>
      </c>
      <c r="AG48" s="114" t="str">
        <f t="shared" si="43"/>
        <v>n.a.</v>
      </c>
      <c r="AH48" s="114" t="str">
        <f t="shared" si="43"/>
        <v>n.a.</v>
      </c>
      <c r="AI48" s="115">
        <f t="shared" si="17"/>
        <v>0</v>
      </c>
      <c r="AK48" s="76"/>
      <c r="AL48" s="62"/>
    </row>
    <row r="49" spans="2:38" ht="15" thickBot="1" x14ac:dyDescent="0.35">
      <c r="B49" s="15"/>
      <c r="C49" s="111"/>
      <c r="D49" s="119"/>
      <c r="E49" s="119"/>
      <c r="F49" s="119"/>
      <c r="G49" s="116"/>
      <c r="H49" s="116"/>
      <c r="I49" s="120" t="s">
        <v>54</v>
      </c>
      <c r="J49" s="121">
        <f>SUM(J34:J48)</f>
        <v>0</v>
      </c>
      <c r="K49" s="121">
        <f t="shared" ref="K49:AI49" si="44">SUM(K34:K48)</f>
        <v>0</v>
      </c>
      <c r="L49" s="121">
        <f t="shared" si="44"/>
        <v>0</v>
      </c>
      <c r="M49" s="121">
        <f t="shared" si="44"/>
        <v>0</v>
      </c>
      <c r="N49" s="121">
        <f t="shared" si="44"/>
        <v>0</v>
      </c>
      <c r="O49" s="121">
        <f t="shared" si="44"/>
        <v>0</v>
      </c>
      <c r="P49" s="121">
        <f t="shared" si="44"/>
        <v>0</v>
      </c>
      <c r="Q49" s="121">
        <f t="shared" si="44"/>
        <v>0</v>
      </c>
      <c r="R49" s="121">
        <f t="shared" si="44"/>
        <v>0</v>
      </c>
      <c r="S49" s="121">
        <f t="shared" si="44"/>
        <v>0</v>
      </c>
      <c r="T49" s="121">
        <f t="shared" si="44"/>
        <v>0</v>
      </c>
      <c r="U49" s="121">
        <f t="shared" si="44"/>
        <v>0</v>
      </c>
      <c r="V49" s="121">
        <f t="shared" si="44"/>
        <v>0</v>
      </c>
      <c r="W49" s="121">
        <f t="shared" si="44"/>
        <v>0</v>
      </c>
      <c r="X49" s="121">
        <f t="shared" si="44"/>
        <v>0</v>
      </c>
      <c r="Y49" s="121">
        <f t="shared" si="44"/>
        <v>0</v>
      </c>
      <c r="Z49" s="121">
        <f t="shared" si="44"/>
        <v>0</v>
      </c>
      <c r="AA49" s="121">
        <f t="shared" si="44"/>
        <v>0</v>
      </c>
      <c r="AB49" s="121">
        <f t="shared" si="44"/>
        <v>0</v>
      </c>
      <c r="AC49" s="121">
        <f t="shared" si="44"/>
        <v>0</v>
      </c>
      <c r="AD49" s="121">
        <f t="shared" si="44"/>
        <v>0</v>
      </c>
      <c r="AE49" s="121">
        <f t="shared" si="44"/>
        <v>0</v>
      </c>
      <c r="AF49" s="121">
        <f t="shared" si="44"/>
        <v>0</v>
      </c>
      <c r="AG49" s="121">
        <f t="shared" si="44"/>
        <v>0</v>
      </c>
      <c r="AH49" s="121">
        <f t="shared" si="44"/>
        <v>0</v>
      </c>
      <c r="AI49" s="122">
        <f t="shared" si="44"/>
        <v>0</v>
      </c>
      <c r="AK49" s="76"/>
      <c r="AL49" s="62"/>
    </row>
    <row r="50" spans="2:38" ht="15" thickBot="1" x14ac:dyDescent="0.35">
      <c r="B50" s="15"/>
      <c r="C50" s="111"/>
      <c r="D50" s="123"/>
      <c r="E50" s="123"/>
      <c r="F50" s="123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24"/>
      <c r="AK50" s="76"/>
      <c r="AL50" s="62"/>
    </row>
    <row r="51" spans="2:38" ht="28.5" customHeight="1" thickBot="1" x14ac:dyDescent="0.35">
      <c r="B51" s="15"/>
      <c r="C51" s="107" t="s">
        <v>52</v>
      </c>
      <c r="D51" s="125" t="s">
        <v>191</v>
      </c>
      <c r="E51" s="126"/>
      <c r="F51" s="126"/>
      <c r="G51" s="971" t="s">
        <v>192</v>
      </c>
      <c r="H51" s="971"/>
      <c r="I51" s="971"/>
      <c r="J51" s="342">
        <v>1</v>
      </c>
      <c r="K51" s="342">
        <v>2</v>
      </c>
      <c r="L51" s="342">
        <v>3</v>
      </c>
      <c r="M51" s="342">
        <v>4</v>
      </c>
      <c r="N51" s="342">
        <v>5</v>
      </c>
      <c r="O51" s="342">
        <v>6</v>
      </c>
      <c r="P51" s="342">
        <v>7</v>
      </c>
      <c r="Q51" s="342">
        <v>8</v>
      </c>
      <c r="R51" s="342">
        <v>9</v>
      </c>
      <c r="S51" s="342">
        <v>10</v>
      </c>
      <c r="T51" s="342">
        <v>11</v>
      </c>
      <c r="U51" s="342">
        <v>12</v>
      </c>
      <c r="V51" s="342">
        <v>13</v>
      </c>
      <c r="W51" s="342">
        <v>14</v>
      </c>
      <c r="X51" s="342">
        <v>15</v>
      </c>
      <c r="Y51" s="342">
        <v>16</v>
      </c>
      <c r="Z51" s="342">
        <v>17</v>
      </c>
      <c r="AA51" s="342">
        <v>18</v>
      </c>
      <c r="AB51" s="342">
        <v>19</v>
      </c>
      <c r="AC51" s="342">
        <v>20</v>
      </c>
      <c r="AD51" s="342">
        <v>21</v>
      </c>
      <c r="AE51" s="342">
        <v>22</v>
      </c>
      <c r="AF51" s="342">
        <v>23</v>
      </c>
      <c r="AG51" s="342">
        <v>24</v>
      </c>
      <c r="AH51" s="342">
        <v>25</v>
      </c>
      <c r="AI51" s="110" t="s">
        <v>53</v>
      </c>
      <c r="AK51" s="76"/>
      <c r="AL51" s="62"/>
    </row>
    <row r="52" spans="2:38" ht="15" thickBot="1" x14ac:dyDescent="0.35">
      <c r="B52" s="15"/>
      <c r="C52" s="127">
        <f>C34</f>
        <v>1</v>
      </c>
      <c r="D52" s="422">
        <f>W10</f>
        <v>0</v>
      </c>
      <c r="E52" s="423"/>
      <c r="F52" s="423"/>
      <c r="G52" s="422">
        <f>IF(D52="","",D52-E52-F52)</f>
        <v>0</v>
      </c>
      <c r="H52" s="422"/>
      <c r="I52" s="424"/>
      <c r="J52" s="417" t="str">
        <f>IF(AND($I10&gt;=J$33,$I10&lt;&gt;""),$G52,"n.a.")</f>
        <v>n.a.</v>
      </c>
      <c r="K52" s="417" t="str">
        <f t="shared" ref="K52:AH52" si="45">IF(AND($I10&gt;=K$33,$I10&lt;&gt;""),$G52,"n.a.")</f>
        <v>n.a.</v>
      </c>
      <c r="L52" s="417" t="str">
        <f t="shared" si="45"/>
        <v>n.a.</v>
      </c>
      <c r="M52" s="417" t="str">
        <f t="shared" si="45"/>
        <v>n.a.</v>
      </c>
      <c r="N52" s="417" t="str">
        <f t="shared" si="45"/>
        <v>n.a.</v>
      </c>
      <c r="O52" s="417" t="str">
        <f t="shared" si="45"/>
        <v>n.a.</v>
      </c>
      <c r="P52" s="417" t="str">
        <f t="shared" si="45"/>
        <v>n.a.</v>
      </c>
      <c r="Q52" s="417" t="str">
        <f t="shared" si="45"/>
        <v>n.a.</v>
      </c>
      <c r="R52" s="417" t="str">
        <f t="shared" si="45"/>
        <v>n.a.</v>
      </c>
      <c r="S52" s="417" t="str">
        <f t="shared" si="45"/>
        <v>n.a.</v>
      </c>
      <c r="T52" s="417" t="str">
        <f t="shared" si="45"/>
        <v>n.a.</v>
      </c>
      <c r="U52" s="417" t="str">
        <f t="shared" si="45"/>
        <v>n.a.</v>
      </c>
      <c r="V52" s="417" t="str">
        <f t="shared" si="45"/>
        <v>n.a.</v>
      </c>
      <c r="W52" s="417" t="str">
        <f t="shared" si="45"/>
        <v>n.a.</v>
      </c>
      <c r="X52" s="417" t="str">
        <f t="shared" si="45"/>
        <v>n.a.</v>
      </c>
      <c r="Y52" s="417" t="str">
        <f t="shared" si="45"/>
        <v>n.a.</v>
      </c>
      <c r="Z52" s="417" t="str">
        <f t="shared" si="45"/>
        <v>n.a.</v>
      </c>
      <c r="AA52" s="417" t="str">
        <f t="shared" si="45"/>
        <v>n.a.</v>
      </c>
      <c r="AB52" s="417" t="str">
        <f t="shared" si="45"/>
        <v>n.a.</v>
      </c>
      <c r="AC52" s="417" t="str">
        <f t="shared" si="45"/>
        <v>n.a.</v>
      </c>
      <c r="AD52" s="417" t="str">
        <f t="shared" si="45"/>
        <v>n.a.</v>
      </c>
      <c r="AE52" s="417" t="str">
        <f t="shared" si="45"/>
        <v>n.a.</v>
      </c>
      <c r="AF52" s="417" t="str">
        <f t="shared" si="45"/>
        <v>n.a.</v>
      </c>
      <c r="AG52" s="417" t="str">
        <f t="shared" si="45"/>
        <v>n.a.</v>
      </c>
      <c r="AH52" s="417" t="str">
        <f t="shared" si="45"/>
        <v>n.a.</v>
      </c>
      <c r="AI52" s="418">
        <f t="shared" ref="AI52:AI65" si="46">SUM(J52:AH52)</f>
        <v>0</v>
      </c>
      <c r="AK52" s="76"/>
      <c r="AL52" s="62"/>
    </row>
    <row r="53" spans="2:38" ht="15" thickBot="1" x14ac:dyDescent="0.35">
      <c r="B53" s="15"/>
      <c r="C53" s="127">
        <f>C35</f>
        <v>2</v>
      </c>
      <c r="D53" s="422">
        <f>W11</f>
        <v>0</v>
      </c>
      <c r="E53" s="423"/>
      <c r="F53" s="423"/>
      <c r="G53" s="422">
        <f t="shared" ref="G53:G66" si="47">IF(D53="","",D53-E53-F53)</f>
        <v>0</v>
      </c>
      <c r="H53" s="422"/>
      <c r="I53" s="424"/>
      <c r="J53" s="417" t="str">
        <f>IF(AND($I11&gt;=J$33,$I11&lt;&gt;""),$G53,"n.a.")</f>
        <v>n.a.</v>
      </c>
      <c r="K53" s="417" t="str">
        <f t="shared" ref="K53:AH53" si="48">IF(AND($I11&gt;=K$33,$I11&lt;&gt;""),$G53,"n.a.")</f>
        <v>n.a.</v>
      </c>
      <c r="L53" s="417" t="str">
        <f t="shared" si="48"/>
        <v>n.a.</v>
      </c>
      <c r="M53" s="417" t="str">
        <f t="shared" si="48"/>
        <v>n.a.</v>
      </c>
      <c r="N53" s="417" t="str">
        <f t="shared" si="48"/>
        <v>n.a.</v>
      </c>
      <c r="O53" s="417" t="str">
        <f t="shared" si="48"/>
        <v>n.a.</v>
      </c>
      <c r="P53" s="417" t="str">
        <f t="shared" si="48"/>
        <v>n.a.</v>
      </c>
      <c r="Q53" s="417" t="str">
        <f t="shared" si="48"/>
        <v>n.a.</v>
      </c>
      <c r="R53" s="417" t="str">
        <f t="shared" si="48"/>
        <v>n.a.</v>
      </c>
      <c r="S53" s="417" t="str">
        <f t="shared" si="48"/>
        <v>n.a.</v>
      </c>
      <c r="T53" s="417" t="str">
        <f t="shared" si="48"/>
        <v>n.a.</v>
      </c>
      <c r="U53" s="417" t="str">
        <f t="shared" si="48"/>
        <v>n.a.</v>
      </c>
      <c r="V53" s="417" t="str">
        <f t="shared" si="48"/>
        <v>n.a.</v>
      </c>
      <c r="W53" s="417" t="str">
        <f t="shared" si="48"/>
        <v>n.a.</v>
      </c>
      <c r="X53" s="417" t="str">
        <f t="shared" si="48"/>
        <v>n.a.</v>
      </c>
      <c r="Y53" s="417" t="str">
        <f t="shared" si="48"/>
        <v>n.a.</v>
      </c>
      <c r="Z53" s="417" t="str">
        <f t="shared" si="48"/>
        <v>n.a.</v>
      </c>
      <c r="AA53" s="417" t="str">
        <f t="shared" si="48"/>
        <v>n.a.</v>
      </c>
      <c r="AB53" s="417" t="str">
        <f t="shared" si="48"/>
        <v>n.a.</v>
      </c>
      <c r="AC53" s="417" t="str">
        <f t="shared" si="48"/>
        <v>n.a.</v>
      </c>
      <c r="AD53" s="417" t="str">
        <f t="shared" si="48"/>
        <v>n.a.</v>
      </c>
      <c r="AE53" s="417" t="str">
        <f t="shared" si="48"/>
        <v>n.a.</v>
      </c>
      <c r="AF53" s="417" t="str">
        <f t="shared" si="48"/>
        <v>n.a.</v>
      </c>
      <c r="AG53" s="417" t="str">
        <f t="shared" si="48"/>
        <v>n.a.</v>
      </c>
      <c r="AH53" s="417" t="str">
        <f t="shared" si="48"/>
        <v>n.a.</v>
      </c>
      <c r="AI53" s="418">
        <f t="shared" si="46"/>
        <v>0</v>
      </c>
      <c r="AK53" s="76"/>
      <c r="AL53" s="62"/>
    </row>
    <row r="54" spans="2:38" ht="15" thickBot="1" x14ac:dyDescent="0.35">
      <c r="B54" s="15"/>
      <c r="C54" s="127">
        <f>C36</f>
        <v>3</v>
      </c>
      <c r="D54" s="422">
        <f>W12</f>
        <v>0</v>
      </c>
      <c r="E54" s="423"/>
      <c r="F54" s="423"/>
      <c r="G54" s="422">
        <f t="shared" si="47"/>
        <v>0</v>
      </c>
      <c r="H54" s="422"/>
      <c r="I54" s="424"/>
      <c r="J54" s="417" t="str">
        <f>IF(AND($I12&gt;=J$33,$I12&lt;&gt;""),$G54,"n.a.")</f>
        <v>n.a.</v>
      </c>
      <c r="K54" s="417" t="str">
        <f t="shared" ref="K54:AH54" si="49">IF(AND($I12&gt;=K$33,$I12&lt;&gt;""),$G54,"n.a.")</f>
        <v>n.a.</v>
      </c>
      <c r="L54" s="417" t="str">
        <f t="shared" si="49"/>
        <v>n.a.</v>
      </c>
      <c r="M54" s="417" t="str">
        <f t="shared" si="49"/>
        <v>n.a.</v>
      </c>
      <c r="N54" s="417" t="str">
        <f t="shared" si="49"/>
        <v>n.a.</v>
      </c>
      <c r="O54" s="417" t="str">
        <f t="shared" si="49"/>
        <v>n.a.</v>
      </c>
      <c r="P54" s="417" t="str">
        <f t="shared" si="49"/>
        <v>n.a.</v>
      </c>
      <c r="Q54" s="417" t="str">
        <f t="shared" si="49"/>
        <v>n.a.</v>
      </c>
      <c r="R54" s="417" t="str">
        <f t="shared" si="49"/>
        <v>n.a.</v>
      </c>
      <c r="S54" s="417" t="str">
        <f t="shared" si="49"/>
        <v>n.a.</v>
      </c>
      <c r="T54" s="417" t="str">
        <f t="shared" si="49"/>
        <v>n.a.</v>
      </c>
      <c r="U54" s="417" t="str">
        <f t="shared" si="49"/>
        <v>n.a.</v>
      </c>
      <c r="V54" s="417" t="str">
        <f t="shared" si="49"/>
        <v>n.a.</v>
      </c>
      <c r="W54" s="417" t="str">
        <f t="shared" si="49"/>
        <v>n.a.</v>
      </c>
      <c r="X54" s="417" t="str">
        <f t="shared" si="49"/>
        <v>n.a.</v>
      </c>
      <c r="Y54" s="417" t="str">
        <f t="shared" si="49"/>
        <v>n.a.</v>
      </c>
      <c r="Z54" s="417" t="str">
        <f t="shared" si="49"/>
        <v>n.a.</v>
      </c>
      <c r="AA54" s="417" t="str">
        <f t="shared" si="49"/>
        <v>n.a.</v>
      </c>
      <c r="AB54" s="417" t="str">
        <f t="shared" si="49"/>
        <v>n.a.</v>
      </c>
      <c r="AC54" s="417" t="str">
        <f t="shared" si="49"/>
        <v>n.a.</v>
      </c>
      <c r="AD54" s="417" t="str">
        <f t="shared" si="49"/>
        <v>n.a.</v>
      </c>
      <c r="AE54" s="417" t="str">
        <f t="shared" si="49"/>
        <v>n.a.</v>
      </c>
      <c r="AF54" s="417" t="str">
        <f t="shared" si="49"/>
        <v>n.a.</v>
      </c>
      <c r="AG54" s="417" t="str">
        <f t="shared" si="49"/>
        <v>n.a.</v>
      </c>
      <c r="AH54" s="417" t="str">
        <f t="shared" si="49"/>
        <v>n.a.</v>
      </c>
      <c r="AI54" s="418">
        <f t="shared" si="46"/>
        <v>0</v>
      </c>
      <c r="AK54" s="76"/>
      <c r="AL54" s="62"/>
    </row>
    <row r="55" spans="2:38" ht="15" thickBot="1" x14ac:dyDescent="0.35">
      <c r="B55" s="15"/>
      <c r="C55" s="127">
        <f>C37</f>
        <v>4</v>
      </c>
      <c r="D55" s="422">
        <f>W13</f>
        <v>0</v>
      </c>
      <c r="E55" s="423"/>
      <c r="F55" s="423"/>
      <c r="G55" s="422">
        <f t="shared" si="47"/>
        <v>0</v>
      </c>
      <c r="H55" s="422"/>
      <c r="I55" s="424"/>
      <c r="J55" s="417" t="str">
        <f>IF(AND($I13&gt;=J$33,$I13&lt;&gt;""),$G55,"n.a.")</f>
        <v>n.a.</v>
      </c>
      <c r="K55" s="417" t="str">
        <f t="shared" ref="K55:AH55" si="50">IF(AND($I13&gt;=K$33,$I13&lt;&gt;""),$G55,"n.a.")</f>
        <v>n.a.</v>
      </c>
      <c r="L55" s="417" t="str">
        <f t="shared" si="50"/>
        <v>n.a.</v>
      </c>
      <c r="M55" s="417" t="str">
        <f t="shared" si="50"/>
        <v>n.a.</v>
      </c>
      <c r="N55" s="417" t="str">
        <f t="shared" si="50"/>
        <v>n.a.</v>
      </c>
      <c r="O55" s="417" t="str">
        <f t="shared" si="50"/>
        <v>n.a.</v>
      </c>
      <c r="P55" s="417" t="str">
        <f t="shared" si="50"/>
        <v>n.a.</v>
      </c>
      <c r="Q55" s="417" t="str">
        <f t="shared" si="50"/>
        <v>n.a.</v>
      </c>
      <c r="R55" s="417" t="str">
        <f t="shared" si="50"/>
        <v>n.a.</v>
      </c>
      <c r="S55" s="417" t="str">
        <f t="shared" si="50"/>
        <v>n.a.</v>
      </c>
      <c r="T55" s="417" t="str">
        <f t="shared" si="50"/>
        <v>n.a.</v>
      </c>
      <c r="U55" s="417" t="str">
        <f t="shared" si="50"/>
        <v>n.a.</v>
      </c>
      <c r="V55" s="417" t="str">
        <f t="shared" si="50"/>
        <v>n.a.</v>
      </c>
      <c r="W55" s="417" t="str">
        <f t="shared" si="50"/>
        <v>n.a.</v>
      </c>
      <c r="X55" s="417" t="str">
        <f t="shared" si="50"/>
        <v>n.a.</v>
      </c>
      <c r="Y55" s="417" t="str">
        <f t="shared" si="50"/>
        <v>n.a.</v>
      </c>
      <c r="Z55" s="417" t="str">
        <f t="shared" si="50"/>
        <v>n.a.</v>
      </c>
      <c r="AA55" s="417" t="str">
        <f t="shared" si="50"/>
        <v>n.a.</v>
      </c>
      <c r="AB55" s="417" t="str">
        <f t="shared" si="50"/>
        <v>n.a.</v>
      </c>
      <c r="AC55" s="417" t="str">
        <f t="shared" si="50"/>
        <v>n.a.</v>
      </c>
      <c r="AD55" s="417" t="str">
        <f t="shared" si="50"/>
        <v>n.a.</v>
      </c>
      <c r="AE55" s="417" t="str">
        <f t="shared" si="50"/>
        <v>n.a.</v>
      </c>
      <c r="AF55" s="417" t="str">
        <f t="shared" si="50"/>
        <v>n.a.</v>
      </c>
      <c r="AG55" s="417" t="str">
        <f t="shared" si="50"/>
        <v>n.a.</v>
      </c>
      <c r="AH55" s="417" t="str">
        <f t="shared" si="50"/>
        <v>n.a.</v>
      </c>
      <c r="AI55" s="418">
        <f t="shared" si="46"/>
        <v>0</v>
      </c>
      <c r="AK55" s="76"/>
      <c r="AL55" s="62"/>
    </row>
    <row r="56" spans="2:38" ht="15" thickBot="1" x14ac:dyDescent="0.35">
      <c r="B56" s="15"/>
      <c r="C56" s="127">
        <f t="shared" ref="C56:C60" si="51">C38</f>
        <v>5</v>
      </c>
      <c r="D56" s="422">
        <f t="shared" ref="D56:D60" si="52">W14</f>
        <v>0</v>
      </c>
      <c r="E56" s="423"/>
      <c r="F56" s="423"/>
      <c r="G56" s="422">
        <f t="shared" ref="G56:G60" si="53">IF(D56="","",D56-E56-F56)</f>
        <v>0</v>
      </c>
      <c r="H56" s="422"/>
      <c r="I56" s="424"/>
      <c r="J56" s="417" t="str">
        <f t="shared" ref="J56:AH56" si="54">IF(AND($I14&gt;=J$33,$I14&lt;&gt;""),$G56,"n.a.")</f>
        <v>n.a.</v>
      </c>
      <c r="K56" s="417" t="str">
        <f t="shared" si="54"/>
        <v>n.a.</v>
      </c>
      <c r="L56" s="417" t="str">
        <f t="shared" si="54"/>
        <v>n.a.</v>
      </c>
      <c r="M56" s="417" t="str">
        <f t="shared" si="54"/>
        <v>n.a.</v>
      </c>
      <c r="N56" s="417" t="str">
        <f t="shared" si="54"/>
        <v>n.a.</v>
      </c>
      <c r="O56" s="417" t="str">
        <f t="shared" si="54"/>
        <v>n.a.</v>
      </c>
      <c r="P56" s="417" t="str">
        <f t="shared" si="54"/>
        <v>n.a.</v>
      </c>
      <c r="Q56" s="417" t="str">
        <f t="shared" si="54"/>
        <v>n.a.</v>
      </c>
      <c r="R56" s="417" t="str">
        <f t="shared" si="54"/>
        <v>n.a.</v>
      </c>
      <c r="S56" s="417" t="str">
        <f t="shared" si="54"/>
        <v>n.a.</v>
      </c>
      <c r="T56" s="417" t="str">
        <f t="shared" si="54"/>
        <v>n.a.</v>
      </c>
      <c r="U56" s="417" t="str">
        <f t="shared" si="54"/>
        <v>n.a.</v>
      </c>
      <c r="V56" s="417" t="str">
        <f t="shared" si="54"/>
        <v>n.a.</v>
      </c>
      <c r="W56" s="417" t="str">
        <f t="shared" si="54"/>
        <v>n.a.</v>
      </c>
      <c r="X56" s="417" t="str">
        <f t="shared" si="54"/>
        <v>n.a.</v>
      </c>
      <c r="Y56" s="417" t="str">
        <f t="shared" si="54"/>
        <v>n.a.</v>
      </c>
      <c r="Z56" s="417" t="str">
        <f t="shared" si="54"/>
        <v>n.a.</v>
      </c>
      <c r="AA56" s="417" t="str">
        <f t="shared" si="54"/>
        <v>n.a.</v>
      </c>
      <c r="AB56" s="417" t="str">
        <f t="shared" si="54"/>
        <v>n.a.</v>
      </c>
      <c r="AC56" s="417" t="str">
        <f t="shared" si="54"/>
        <v>n.a.</v>
      </c>
      <c r="AD56" s="417" t="str">
        <f t="shared" si="54"/>
        <v>n.a.</v>
      </c>
      <c r="AE56" s="417" t="str">
        <f t="shared" si="54"/>
        <v>n.a.</v>
      </c>
      <c r="AF56" s="417" t="str">
        <f t="shared" si="54"/>
        <v>n.a.</v>
      </c>
      <c r="AG56" s="417" t="str">
        <f t="shared" si="54"/>
        <v>n.a.</v>
      </c>
      <c r="AH56" s="417" t="str">
        <f t="shared" si="54"/>
        <v>n.a.</v>
      </c>
      <c r="AI56" s="418">
        <f t="shared" ref="AI56:AI60" si="55">SUM(J56:AH56)</f>
        <v>0</v>
      </c>
      <c r="AK56" s="76"/>
      <c r="AL56" s="62"/>
    </row>
    <row r="57" spans="2:38" ht="15" thickBot="1" x14ac:dyDescent="0.35">
      <c r="B57" s="15"/>
      <c r="C57" s="127">
        <f t="shared" si="51"/>
        <v>6</v>
      </c>
      <c r="D57" s="422">
        <f t="shared" si="52"/>
        <v>0</v>
      </c>
      <c r="E57" s="423"/>
      <c r="F57" s="423"/>
      <c r="G57" s="422">
        <f t="shared" si="53"/>
        <v>0</v>
      </c>
      <c r="H57" s="422"/>
      <c r="I57" s="424"/>
      <c r="J57" s="417" t="str">
        <f t="shared" ref="J57:AH57" si="56">IF(AND($I15&gt;=J$33,$I15&lt;&gt;""),$G57,"n.a.")</f>
        <v>n.a.</v>
      </c>
      <c r="K57" s="417" t="str">
        <f t="shared" si="56"/>
        <v>n.a.</v>
      </c>
      <c r="L57" s="417" t="str">
        <f t="shared" si="56"/>
        <v>n.a.</v>
      </c>
      <c r="M57" s="417" t="str">
        <f t="shared" si="56"/>
        <v>n.a.</v>
      </c>
      <c r="N57" s="417" t="str">
        <f t="shared" si="56"/>
        <v>n.a.</v>
      </c>
      <c r="O57" s="417" t="str">
        <f t="shared" si="56"/>
        <v>n.a.</v>
      </c>
      <c r="P57" s="417" t="str">
        <f t="shared" si="56"/>
        <v>n.a.</v>
      </c>
      <c r="Q57" s="417" t="str">
        <f t="shared" si="56"/>
        <v>n.a.</v>
      </c>
      <c r="R57" s="417" t="str">
        <f t="shared" si="56"/>
        <v>n.a.</v>
      </c>
      <c r="S57" s="417" t="str">
        <f t="shared" si="56"/>
        <v>n.a.</v>
      </c>
      <c r="T57" s="417" t="str">
        <f t="shared" si="56"/>
        <v>n.a.</v>
      </c>
      <c r="U57" s="417" t="str">
        <f t="shared" si="56"/>
        <v>n.a.</v>
      </c>
      <c r="V57" s="417" t="str">
        <f t="shared" si="56"/>
        <v>n.a.</v>
      </c>
      <c r="W57" s="417" t="str">
        <f t="shared" si="56"/>
        <v>n.a.</v>
      </c>
      <c r="X57" s="417" t="str">
        <f t="shared" si="56"/>
        <v>n.a.</v>
      </c>
      <c r="Y57" s="417" t="str">
        <f t="shared" si="56"/>
        <v>n.a.</v>
      </c>
      <c r="Z57" s="417" t="str">
        <f t="shared" si="56"/>
        <v>n.a.</v>
      </c>
      <c r="AA57" s="417" t="str">
        <f t="shared" si="56"/>
        <v>n.a.</v>
      </c>
      <c r="AB57" s="417" t="str">
        <f t="shared" si="56"/>
        <v>n.a.</v>
      </c>
      <c r="AC57" s="417" t="str">
        <f t="shared" si="56"/>
        <v>n.a.</v>
      </c>
      <c r="AD57" s="417" t="str">
        <f t="shared" si="56"/>
        <v>n.a.</v>
      </c>
      <c r="AE57" s="417" t="str">
        <f t="shared" si="56"/>
        <v>n.a.</v>
      </c>
      <c r="AF57" s="417" t="str">
        <f t="shared" si="56"/>
        <v>n.a.</v>
      </c>
      <c r="AG57" s="417" t="str">
        <f t="shared" si="56"/>
        <v>n.a.</v>
      </c>
      <c r="AH57" s="417" t="str">
        <f t="shared" si="56"/>
        <v>n.a.</v>
      </c>
      <c r="AI57" s="418">
        <f t="shared" si="55"/>
        <v>0</v>
      </c>
      <c r="AK57" s="76"/>
      <c r="AL57" s="62"/>
    </row>
    <row r="58" spans="2:38" ht="15" thickBot="1" x14ac:dyDescent="0.35">
      <c r="B58" s="15"/>
      <c r="C58" s="127">
        <f t="shared" si="51"/>
        <v>7</v>
      </c>
      <c r="D58" s="422">
        <f t="shared" si="52"/>
        <v>0</v>
      </c>
      <c r="E58" s="423"/>
      <c r="F58" s="423"/>
      <c r="G58" s="422">
        <f t="shared" si="53"/>
        <v>0</v>
      </c>
      <c r="H58" s="422"/>
      <c r="I58" s="424"/>
      <c r="J58" s="417" t="str">
        <f t="shared" ref="J58:AH58" si="57">IF(AND($I16&gt;=J$33,$I16&lt;&gt;""),$G58,"n.a.")</f>
        <v>n.a.</v>
      </c>
      <c r="K58" s="417" t="str">
        <f t="shared" si="57"/>
        <v>n.a.</v>
      </c>
      <c r="L58" s="417" t="str">
        <f t="shared" si="57"/>
        <v>n.a.</v>
      </c>
      <c r="M58" s="417" t="str">
        <f t="shared" si="57"/>
        <v>n.a.</v>
      </c>
      <c r="N58" s="417" t="str">
        <f t="shared" si="57"/>
        <v>n.a.</v>
      </c>
      <c r="O58" s="417" t="str">
        <f t="shared" si="57"/>
        <v>n.a.</v>
      </c>
      <c r="P58" s="417" t="str">
        <f t="shared" si="57"/>
        <v>n.a.</v>
      </c>
      <c r="Q58" s="417" t="str">
        <f t="shared" si="57"/>
        <v>n.a.</v>
      </c>
      <c r="R58" s="417" t="str">
        <f t="shared" si="57"/>
        <v>n.a.</v>
      </c>
      <c r="S58" s="417" t="str">
        <f t="shared" si="57"/>
        <v>n.a.</v>
      </c>
      <c r="T58" s="417" t="str">
        <f t="shared" si="57"/>
        <v>n.a.</v>
      </c>
      <c r="U58" s="417" t="str">
        <f t="shared" si="57"/>
        <v>n.a.</v>
      </c>
      <c r="V58" s="417" t="str">
        <f t="shared" si="57"/>
        <v>n.a.</v>
      </c>
      <c r="W58" s="417" t="str">
        <f t="shared" si="57"/>
        <v>n.a.</v>
      </c>
      <c r="X58" s="417" t="str">
        <f t="shared" si="57"/>
        <v>n.a.</v>
      </c>
      <c r="Y58" s="417" t="str">
        <f t="shared" si="57"/>
        <v>n.a.</v>
      </c>
      <c r="Z58" s="417" t="str">
        <f t="shared" si="57"/>
        <v>n.a.</v>
      </c>
      <c r="AA58" s="417" t="str">
        <f t="shared" si="57"/>
        <v>n.a.</v>
      </c>
      <c r="AB58" s="417" t="str">
        <f t="shared" si="57"/>
        <v>n.a.</v>
      </c>
      <c r="AC58" s="417" t="str">
        <f t="shared" si="57"/>
        <v>n.a.</v>
      </c>
      <c r="AD58" s="417" t="str">
        <f t="shared" si="57"/>
        <v>n.a.</v>
      </c>
      <c r="AE58" s="417" t="str">
        <f t="shared" si="57"/>
        <v>n.a.</v>
      </c>
      <c r="AF58" s="417" t="str">
        <f t="shared" si="57"/>
        <v>n.a.</v>
      </c>
      <c r="AG58" s="417" t="str">
        <f t="shared" si="57"/>
        <v>n.a.</v>
      </c>
      <c r="AH58" s="417" t="str">
        <f t="shared" si="57"/>
        <v>n.a.</v>
      </c>
      <c r="AI58" s="418">
        <f t="shared" si="55"/>
        <v>0</v>
      </c>
      <c r="AK58" s="76"/>
      <c r="AL58" s="62"/>
    </row>
    <row r="59" spans="2:38" ht="15" thickBot="1" x14ac:dyDescent="0.35">
      <c r="B59" s="15"/>
      <c r="C59" s="127">
        <f t="shared" si="51"/>
        <v>8</v>
      </c>
      <c r="D59" s="422">
        <f t="shared" si="52"/>
        <v>0</v>
      </c>
      <c r="E59" s="423"/>
      <c r="F59" s="423"/>
      <c r="G59" s="422">
        <f t="shared" si="53"/>
        <v>0</v>
      </c>
      <c r="H59" s="422"/>
      <c r="I59" s="424"/>
      <c r="J59" s="417" t="str">
        <f t="shared" ref="J59:AH59" si="58">IF(AND($I17&gt;=J$33,$I17&lt;&gt;""),$G59,"n.a.")</f>
        <v>n.a.</v>
      </c>
      <c r="K59" s="417" t="str">
        <f t="shared" si="58"/>
        <v>n.a.</v>
      </c>
      <c r="L59" s="417" t="str">
        <f t="shared" si="58"/>
        <v>n.a.</v>
      </c>
      <c r="M59" s="417" t="str">
        <f t="shared" si="58"/>
        <v>n.a.</v>
      </c>
      <c r="N59" s="417" t="str">
        <f t="shared" si="58"/>
        <v>n.a.</v>
      </c>
      <c r="O59" s="417" t="str">
        <f t="shared" si="58"/>
        <v>n.a.</v>
      </c>
      <c r="P59" s="417" t="str">
        <f t="shared" si="58"/>
        <v>n.a.</v>
      </c>
      <c r="Q59" s="417" t="str">
        <f t="shared" si="58"/>
        <v>n.a.</v>
      </c>
      <c r="R59" s="417" t="str">
        <f t="shared" si="58"/>
        <v>n.a.</v>
      </c>
      <c r="S59" s="417" t="str">
        <f t="shared" si="58"/>
        <v>n.a.</v>
      </c>
      <c r="T59" s="417" t="str">
        <f t="shared" si="58"/>
        <v>n.a.</v>
      </c>
      <c r="U59" s="417" t="str">
        <f t="shared" si="58"/>
        <v>n.a.</v>
      </c>
      <c r="V59" s="417" t="str">
        <f t="shared" si="58"/>
        <v>n.a.</v>
      </c>
      <c r="W59" s="417" t="str">
        <f t="shared" si="58"/>
        <v>n.a.</v>
      </c>
      <c r="X59" s="417" t="str">
        <f t="shared" si="58"/>
        <v>n.a.</v>
      </c>
      <c r="Y59" s="417" t="str">
        <f t="shared" si="58"/>
        <v>n.a.</v>
      </c>
      <c r="Z59" s="417" t="str">
        <f t="shared" si="58"/>
        <v>n.a.</v>
      </c>
      <c r="AA59" s="417" t="str">
        <f t="shared" si="58"/>
        <v>n.a.</v>
      </c>
      <c r="AB59" s="417" t="str">
        <f t="shared" si="58"/>
        <v>n.a.</v>
      </c>
      <c r="AC59" s="417" t="str">
        <f t="shared" si="58"/>
        <v>n.a.</v>
      </c>
      <c r="AD59" s="417" t="str">
        <f t="shared" si="58"/>
        <v>n.a.</v>
      </c>
      <c r="AE59" s="417" t="str">
        <f t="shared" si="58"/>
        <v>n.a.</v>
      </c>
      <c r="AF59" s="417" t="str">
        <f t="shared" si="58"/>
        <v>n.a.</v>
      </c>
      <c r="AG59" s="417" t="str">
        <f t="shared" si="58"/>
        <v>n.a.</v>
      </c>
      <c r="AH59" s="417" t="str">
        <f t="shared" si="58"/>
        <v>n.a.</v>
      </c>
      <c r="AI59" s="418">
        <f t="shared" si="55"/>
        <v>0</v>
      </c>
      <c r="AK59" s="76"/>
      <c r="AL59" s="62"/>
    </row>
    <row r="60" spans="2:38" ht="15" thickBot="1" x14ac:dyDescent="0.35">
      <c r="B60" s="15"/>
      <c r="C60" s="127">
        <f t="shared" si="51"/>
        <v>9</v>
      </c>
      <c r="D60" s="422">
        <f t="shared" si="52"/>
        <v>0</v>
      </c>
      <c r="E60" s="423"/>
      <c r="F60" s="423"/>
      <c r="G60" s="422">
        <f t="shared" si="53"/>
        <v>0</v>
      </c>
      <c r="H60" s="422"/>
      <c r="I60" s="424"/>
      <c r="J60" s="417" t="str">
        <f t="shared" ref="J60:AH60" si="59">IF(AND($I18&gt;=J$33,$I18&lt;&gt;""),$G60,"n.a.")</f>
        <v>n.a.</v>
      </c>
      <c r="K60" s="417" t="str">
        <f t="shared" si="59"/>
        <v>n.a.</v>
      </c>
      <c r="L60" s="417" t="str">
        <f t="shared" si="59"/>
        <v>n.a.</v>
      </c>
      <c r="M60" s="417" t="str">
        <f t="shared" si="59"/>
        <v>n.a.</v>
      </c>
      <c r="N60" s="417" t="str">
        <f t="shared" si="59"/>
        <v>n.a.</v>
      </c>
      <c r="O60" s="417" t="str">
        <f t="shared" si="59"/>
        <v>n.a.</v>
      </c>
      <c r="P60" s="417" t="str">
        <f t="shared" si="59"/>
        <v>n.a.</v>
      </c>
      <c r="Q60" s="417" t="str">
        <f t="shared" si="59"/>
        <v>n.a.</v>
      </c>
      <c r="R60" s="417" t="str">
        <f t="shared" si="59"/>
        <v>n.a.</v>
      </c>
      <c r="S60" s="417" t="str">
        <f t="shared" si="59"/>
        <v>n.a.</v>
      </c>
      <c r="T60" s="417" t="str">
        <f t="shared" si="59"/>
        <v>n.a.</v>
      </c>
      <c r="U60" s="417" t="str">
        <f t="shared" si="59"/>
        <v>n.a.</v>
      </c>
      <c r="V60" s="417" t="str">
        <f t="shared" si="59"/>
        <v>n.a.</v>
      </c>
      <c r="W60" s="417" t="str">
        <f t="shared" si="59"/>
        <v>n.a.</v>
      </c>
      <c r="X60" s="417" t="str">
        <f t="shared" si="59"/>
        <v>n.a.</v>
      </c>
      <c r="Y60" s="417" t="str">
        <f t="shared" si="59"/>
        <v>n.a.</v>
      </c>
      <c r="Z60" s="417" t="str">
        <f t="shared" si="59"/>
        <v>n.a.</v>
      </c>
      <c r="AA60" s="417" t="str">
        <f t="shared" si="59"/>
        <v>n.a.</v>
      </c>
      <c r="AB60" s="417" t="str">
        <f t="shared" si="59"/>
        <v>n.a.</v>
      </c>
      <c r="AC60" s="417" t="str">
        <f t="shared" si="59"/>
        <v>n.a.</v>
      </c>
      <c r="AD60" s="417" t="str">
        <f t="shared" si="59"/>
        <v>n.a.</v>
      </c>
      <c r="AE60" s="417" t="str">
        <f t="shared" si="59"/>
        <v>n.a.</v>
      </c>
      <c r="AF60" s="417" t="str">
        <f t="shared" si="59"/>
        <v>n.a.</v>
      </c>
      <c r="AG60" s="417" t="str">
        <f t="shared" si="59"/>
        <v>n.a.</v>
      </c>
      <c r="AH60" s="417" t="str">
        <f t="shared" si="59"/>
        <v>n.a.</v>
      </c>
      <c r="AI60" s="418">
        <f t="shared" si="55"/>
        <v>0</v>
      </c>
      <c r="AK60" s="76"/>
      <c r="AL60" s="62"/>
    </row>
    <row r="61" spans="2:38" ht="15" thickBot="1" x14ac:dyDescent="0.35">
      <c r="B61" s="15"/>
      <c r="C61" s="129">
        <f t="shared" ref="C61:C66" si="60">C43</f>
        <v>10</v>
      </c>
      <c r="D61" s="422">
        <f>W19</f>
        <v>0</v>
      </c>
      <c r="E61" s="423"/>
      <c r="F61" s="423"/>
      <c r="G61" s="422">
        <f t="shared" si="47"/>
        <v>0</v>
      </c>
      <c r="H61" s="422"/>
      <c r="I61" s="424"/>
      <c r="J61" s="417" t="str">
        <f t="shared" ref="J61:AH61" si="61">IF(AND($I19&gt;=J$33,$I19&lt;&gt;""),$G61,"n.a.")</f>
        <v>n.a.</v>
      </c>
      <c r="K61" s="417" t="str">
        <f t="shared" si="61"/>
        <v>n.a.</v>
      </c>
      <c r="L61" s="417" t="str">
        <f t="shared" si="61"/>
        <v>n.a.</v>
      </c>
      <c r="M61" s="417" t="str">
        <f t="shared" si="61"/>
        <v>n.a.</v>
      </c>
      <c r="N61" s="417" t="str">
        <f t="shared" si="61"/>
        <v>n.a.</v>
      </c>
      <c r="O61" s="417" t="str">
        <f t="shared" si="61"/>
        <v>n.a.</v>
      </c>
      <c r="P61" s="417" t="str">
        <f t="shared" si="61"/>
        <v>n.a.</v>
      </c>
      <c r="Q61" s="417" t="str">
        <f t="shared" si="61"/>
        <v>n.a.</v>
      </c>
      <c r="R61" s="417" t="str">
        <f t="shared" si="61"/>
        <v>n.a.</v>
      </c>
      <c r="S61" s="417" t="str">
        <f t="shared" si="61"/>
        <v>n.a.</v>
      </c>
      <c r="T61" s="417" t="str">
        <f t="shared" si="61"/>
        <v>n.a.</v>
      </c>
      <c r="U61" s="417" t="str">
        <f t="shared" si="61"/>
        <v>n.a.</v>
      </c>
      <c r="V61" s="417" t="str">
        <f t="shared" si="61"/>
        <v>n.a.</v>
      </c>
      <c r="W61" s="417" t="str">
        <f t="shared" si="61"/>
        <v>n.a.</v>
      </c>
      <c r="X61" s="417" t="str">
        <f t="shared" si="61"/>
        <v>n.a.</v>
      </c>
      <c r="Y61" s="417" t="str">
        <f t="shared" si="61"/>
        <v>n.a.</v>
      </c>
      <c r="Z61" s="417" t="str">
        <f t="shared" si="61"/>
        <v>n.a.</v>
      </c>
      <c r="AA61" s="417" t="str">
        <f t="shared" si="61"/>
        <v>n.a.</v>
      </c>
      <c r="AB61" s="417" t="str">
        <f t="shared" si="61"/>
        <v>n.a.</v>
      </c>
      <c r="AC61" s="417" t="str">
        <f t="shared" si="61"/>
        <v>n.a.</v>
      </c>
      <c r="AD61" s="417" t="str">
        <f t="shared" si="61"/>
        <v>n.a.</v>
      </c>
      <c r="AE61" s="417" t="str">
        <f t="shared" si="61"/>
        <v>n.a.</v>
      </c>
      <c r="AF61" s="417" t="str">
        <f t="shared" si="61"/>
        <v>n.a.</v>
      </c>
      <c r="AG61" s="417" t="str">
        <f t="shared" si="61"/>
        <v>n.a.</v>
      </c>
      <c r="AH61" s="417" t="str">
        <f t="shared" si="61"/>
        <v>n.a.</v>
      </c>
      <c r="AI61" s="418">
        <f t="shared" si="46"/>
        <v>0</v>
      </c>
      <c r="AK61" s="76"/>
      <c r="AL61" s="62"/>
    </row>
    <row r="62" spans="2:38" ht="15" thickBot="1" x14ac:dyDescent="0.35">
      <c r="B62" s="15"/>
      <c r="C62" s="129">
        <f t="shared" si="60"/>
        <v>11</v>
      </c>
      <c r="D62" s="422">
        <f>W21</f>
        <v>0</v>
      </c>
      <c r="E62" s="425"/>
      <c r="F62" s="425"/>
      <c r="G62" s="422">
        <f t="shared" si="47"/>
        <v>0</v>
      </c>
      <c r="H62" s="422"/>
      <c r="I62" s="426"/>
      <c r="J62" s="417" t="str">
        <f>IF(AND($I21&gt;=J$33,$I21&lt;&gt;""),$G62,"n.a.")</f>
        <v>n.a.</v>
      </c>
      <c r="K62" s="417" t="str">
        <f t="shared" ref="K62:AH62" si="62">IF(AND($I21&gt;=K$33,$I21&lt;&gt;""),$G62,"n.a.")</f>
        <v>n.a.</v>
      </c>
      <c r="L62" s="417" t="str">
        <f t="shared" si="62"/>
        <v>n.a.</v>
      </c>
      <c r="M62" s="417" t="str">
        <f t="shared" si="62"/>
        <v>n.a.</v>
      </c>
      <c r="N62" s="417" t="str">
        <f t="shared" si="62"/>
        <v>n.a.</v>
      </c>
      <c r="O62" s="417" t="str">
        <f t="shared" si="62"/>
        <v>n.a.</v>
      </c>
      <c r="P62" s="417" t="str">
        <f t="shared" si="62"/>
        <v>n.a.</v>
      </c>
      <c r="Q62" s="417" t="str">
        <f t="shared" si="62"/>
        <v>n.a.</v>
      </c>
      <c r="R62" s="417" t="str">
        <f t="shared" si="62"/>
        <v>n.a.</v>
      </c>
      <c r="S62" s="417" t="str">
        <f t="shared" si="62"/>
        <v>n.a.</v>
      </c>
      <c r="T62" s="417" t="str">
        <f t="shared" si="62"/>
        <v>n.a.</v>
      </c>
      <c r="U62" s="417" t="str">
        <f t="shared" si="62"/>
        <v>n.a.</v>
      </c>
      <c r="V62" s="417" t="str">
        <f t="shared" si="62"/>
        <v>n.a.</v>
      </c>
      <c r="W62" s="417" t="str">
        <f t="shared" si="62"/>
        <v>n.a.</v>
      </c>
      <c r="X62" s="417" t="str">
        <f t="shared" si="62"/>
        <v>n.a.</v>
      </c>
      <c r="Y62" s="417" t="str">
        <f t="shared" si="62"/>
        <v>n.a.</v>
      </c>
      <c r="Z62" s="417" t="str">
        <f t="shared" si="62"/>
        <v>n.a.</v>
      </c>
      <c r="AA62" s="417" t="str">
        <f t="shared" si="62"/>
        <v>n.a.</v>
      </c>
      <c r="AB62" s="417" t="str">
        <f t="shared" si="62"/>
        <v>n.a.</v>
      </c>
      <c r="AC62" s="417" t="str">
        <f t="shared" si="62"/>
        <v>n.a.</v>
      </c>
      <c r="AD62" s="417" t="str">
        <f t="shared" si="62"/>
        <v>n.a.</v>
      </c>
      <c r="AE62" s="417" t="str">
        <f t="shared" si="62"/>
        <v>n.a.</v>
      </c>
      <c r="AF62" s="417" t="str">
        <f t="shared" si="62"/>
        <v>n.a.</v>
      </c>
      <c r="AG62" s="417" t="str">
        <f t="shared" si="62"/>
        <v>n.a.</v>
      </c>
      <c r="AH62" s="417" t="str">
        <f t="shared" si="62"/>
        <v>n.a.</v>
      </c>
      <c r="AI62" s="418">
        <f t="shared" si="46"/>
        <v>0</v>
      </c>
      <c r="AK62" s="76"/>
      <c r="AL62" s="62"/>
    </row>
    <row r="63" spans="2:38" ht="15" thickBot="1" x14ac:dyDescent="0.35">
      <c r="B63" s="15"/>
      <c r="C63" s="129">
        <f t="shared" si="60"/>
        <v>12</v>
      </c>
      <c r="D63" s="422">
        <f>W22</f>
        <v>0</v>
      </c>
      <c r="E63" s="425"/>
      <c r="F63" s="425"/>
      <c r="G63" s="422">
        <f t="shared" si="47"/>
        <v>0</v>
      </c>
      <c r="H63" s="422"/>
      <c r="I63" s="426"/>
      <c r="J63" s="417" t="str">
        <f>IF(AND($I22&gt;=J$33,$I22&lt;&gt;""),$G63,"n.a.")</f>
        <v>n.a.</v>
      </c>
      <c r="K63" s="417" t="str">
        <f t="shared" ref="K63:AH63" si="63">IF(AND($I22&gt;=K$33,$I22&lt;&gt;""),$G63,"n.a.")</f>
        <v>n.a.</v>
      </c>
      <c r="L63" s="417" t="str">
        <f t="shared" si="63"/>
        <v>n.a.</v>
      </c>
      <c r="M63" s="417" t="str">
        <f t="shared" si="63"/>
        <v>n.a.</v>
      </c>
      <c r="N63" s="417" t="str">
        <f t="shared" si="63"/>
        <v>n.a.</v>
      </c>
      <c r="O63" s="417" t="str">
        <f t="shared" si="63"/>
        <v>n.a.</v>
      </c>
      <c r="P63" s="417" t="str">
        <f t="shared" si="63"/>
        <v>n.a.</v>
      </c>
      <c r="Q63" s="417" t="str">
        <f t="shared" si="63"/>
        <v>n.a.</v>
      </c>
      <c r="R63" s="417" t="str">
        <f t="shared" si="63"/>
        <v>n.a.</v>
      </c>
      <c r="S63" s="417" t="str">
        <f t="shared" si="63"/>
        <v>n.a.</v>
      </c>
      <c r="T63" s="417" t="str">
        <f t="shared" si="63"/>
        <v>n.a.</v>
      </c>
      <c r="U63" s="417" t="str">
        <f t="shared" si="63"/>
        <v>n.a.</v>
      </c>
      <c r="V63" s="417" t="str">
        <f t="shared" si="63"/>
        <v>n.a.</v>
      </c>
      <c r="W63" s="417" t="str">
        <f t="shared" si="63"/>
        <v>n.a.</v>
      </c>
      <c r="X63" s="417" t="str">
        <f t="shared" si="63"/>
        <v>n.a.</v>
      </c>
      <c r="Y63" s="417" t="str">
        <f t="shared" si="63"/>
        <v>n.a.</v>
      </c>
      <c r="Z63" s="417" t="str">
        <f t="shared" si="63"/>
        <v>n.a.</v>
      </c>
      <c r="AA63" s="417" t="str">
        <f t="shared" si="63"/>
        <v>n.a.</v>
      </c>
      <c r="AB63" s="417" t="str">
        <f t="shared" si="63"/>
        <v>n.a.</v>
      </c>
      <c r="AC63" s="417" t="str">
        <f t="shared" si="63"/>
        <v>n.a.</v>
      </c>
      <c r="AD63" s="417" t="str">
        <f t="shared" si="63"/>
        <v>n.a.</v>
      </c>
      <c r="AE63" s="417" t="str">
        <f t="shared" si="63"/>
        <v>n.a.</v>
      </c>
      <c r="AF63" s="417" t="str">
        <f t="shared" si="63"/>
        <v>n.a.</v>
      </c>
      <c r="AG63" s="417" t="str">
        <f t="shared" si="63"/>
        <v>n.a.</v>
      </c>
      <c r="AH63" s="417" t="str">
        <f t="shared" si="63"/>
        <v>n.a.</v>
      </c>
      <c r="AI63" s="418">
        <f t="shared" si="46"/>
        <v>0</v>
      </c>
      <c r="AK63" s="76"/>
      <c r="AL63" s="62"/>
    </row>
    <row r="64" spans="2:38" ht="15" thickBot="1" x14ac:dyDescent="0.35">
      <c r="B64" s="15"/>
      <c r="C64" s="129">
        <f t="shared" si="60"/>
        <v>13</v>
      </c>
      <c r="D64" s="422">
        <f>W23</f>
        <v>0</v>
      </c>
      <c r="E64" s="425"/>
      <c r="F64" s="425"/>
      <c r="G64" s="422">
        <f t="shared" si="47"/>
        <v>0</v>
      </c>
      <c r="H64" s="422"/>
      <c r="I64" s="426"/>
      <c r="J64" s="417" t="str">
        <f>IF(AND($I23&gt;=J$33,$I23&lt;&gt;""),$G64,"n.a.")</f>
        <v>n.a.</v>
      </c>
      <c r="K64" s="417" t="str">
        <f t="shared" ref="K64:AH64" si="64">IF(AND($I23&gt;=K$33,$I23&lt;&gt;""),$G64,"n.a.")</f>
        <v>n.a.</v>
      </c>
      <c r="L64" s="417" t="str">
        <f t="shared" si="64"/>
        <v>n.a.</v>
      </c>
      <c r="M64" s="417" t="str">
        <f t="shared" si="64"/>
        <v>n.a.</v>
      </c>
      <c r="N64" s="417" t="str">
        <f t="shared" si="64"/>
        <v>n.a.</v>
      </c>
      <c r="O64" s="417" t="str">
        <f t="shared" si="64"/>
        <v>n.a.</v>
      </c>
      <c r="P64" s="417" t="str">
        <f t="shared" si="64"/>
        <v>n.a.</v>
      </c>
      <c r="Q64" s="417" t="str">
        <f t="shared" si="64"/>
        <v>n.a.</v>
      </c>
      <c r="R64" s="417" t="str">
        <f t="shared" si="64"/>
        <v>n.a.</v>
      </c>
      <c r="S64" s="417" t="str">
        <f t="shared" si="64"/>
        <v>n.a.</v>
      </c>
      <c r="T64" s="417" t="str">
        <f t="shared" si="64"/>
        <v>n.a.</v>
      </c>
      <c r="U64" s="417" t="str">
        <f t="shared" si="64"/>
        <v>n.a.</v>
      </c>
      <c r="V64" s="417" t="str">
        <f t="shared" si="64"/>
        <v>n.a.</v>
      </c>
      <c r="W64" s="417" t="str">
        <f t="shared" si="64"/>
        <v>n.a.</v>
      </c>
      <c r="X64" s="417" t="str">
        <f t="shared" si="64"/>
        <v>n.a.</v>
      </c>
      <c r="Y64" s="417" t="str">
        <f t="shared" si="64"/>
        <v>n.a.</v>
      </c>
      <c r="Z64" s="417" t="str">
        <f t="shared" si="64"/>
        <v>n.a.</v>
      </c>
      <c r="AA64" s="417" t="str">
        <f t="shared" si="64"/>
        <v>n.a.</v>
      </c>
      <c r="AB64" s="417" t="str">
        <f t="shared" si="64"/>
        <v>n.a.</v>
      </c>
      <c r="AC64" s="417" t="str">
        <f t="shared" si="64"/>
        <v>n.a.</v>
      </c>
      <c r="AD64" s="417" t="str">
        <f t="shared" si="64"/>
        <v>n.a.</v>
      </c>
      <c r="AE64" s="417" t="str">
        <f t="shared" si="64"/>
        <v>n.a.</v>
      </c>
      <c r="AF64" s="417" t="str">
        <f t="shared" si="64"/>
        <v>n.a.</v>
      </c>
      <c r="AG64" s="417" t="str">
        <f t="shared" si="64"/>
        <v>n.a.</v>
      </c>
      <c r="AH64" s="417" t="str">
        <f t="shared" si="64"/>
        <v>n.a.</v>
      </c>
      <c r="AI64" s="418">
        <f t="shared" si="46"/>
        <v>0</v>
      </c>
      <c r="AL64" s="12"/>
    </row>
    <row r="65" spans="2:38" ht="15" thickBot="1" x14ac:dyDescent="0.35">
      <c r="B65" s="15"/>
      <c r="C65" s="129">
        <f t="shared" si="60"/>
        <v>14</v>
      </c>
      <c r="D65" s="422">
        <f>W24</f>
        <v>0</v>
      </c>
      <c r="E65" s="425"/>
      <c r="F65" s="425"/>
      <c r="G65" s="422">
        <f t="shared" si="47"/>
        <v>0</v>
      </c>
      <c r="H65" s="422"/>
      <c r="I65" s="426"/>
      <c r="J65" s="417" t="str">
        <f>IF(AND($I24&gt;=J$33,$I24&lt;&gt;""),$G65,"n.a.")</f>
        <v>n.a.</v>
      </c>
      <c r="K65" s="417" t="str">
        <f t="shared" ref="K65:AH65" si="65">IF(AND($I24&gt;=K$33,$I24&lt;&gt;""),$G65,"n.a.")</f>
        <v>n.a.</v>
      </c>
      <c r="L65" s="417" t="str">
        <f t="shared" si="65"/>
        <v>n.a.</v>
      </c>
      <c r="M65" s="417" t="str">
        <f t="shared" si="65"/>
        <v>n.a.</v>
      </c>
      <c r="N65" s="417" t="str">
        <f t="shared" si="65"/>
        <v>n.a.</v>
      </c>
      <c r="O65" s="417" t="str">
        <f t="shared" si="65"/>
        <v>n.a.</v>
      </c>
      <c r="P65" s="417" t="str">
        <f t="shared" si="65"/>
        <v>n.a.</v>
      </c>
      <c r="Q65" s="417" t="str">
        <f t="shared" si="65"/>
        <v>n.a.</v>
      </c>
      <c r="R65" s="417" t="str">
        <f t="shared" si="65"/>
        <v>n.a.</v>
      </c>
      <c r="S65" s="417" t="str">
        <f t="shared" si="65"/>
        <v>n.a.</v>
      </c>
      <c r="T65" s="417" t="str">
        <f t="shared" si="65"/>
        <v>n.a.</v>
      </c>
      <c r="U65" s="417" t="str">
        <f t="shared" si="65"/>
        <v>n.a.</v>
      </c>
      <c r="V65" s="417" t="str">
        <f t="shared" si="65"/>
        <v>n.a.</v>
      </c>
      <c r="W65" s="417" t="str">
        <f t="shared" si="65"/>
        <v>n.a.</v>
      </c>
      <c r="X65" s="417" t="str">
        <f t="shared" si="65"/>
        <v>n.a.</v>
      </c>
      <c r="Y65" s="417" t="str">
        <f t="shared" si="65"/>
        <v>n.a.</v>
      </c>
      <c r="Z65" s="417" t="str">
        <f t="shared" si="65"/>
        <v>n.a.</v>
      </c>
      <c r="AA65" s="417" t="str">
        <f t="shared" si="65"/>
        <v>n.a.</v>
      </c>
      <c r="AB65" s="417" t="str">
        <f t="shared" si="65"/>
        <v>n.a.</v>
      </c>
      <c r="AC65" s="417" t="str">
        <f t="shared" si="65"/>
        <v>n.a.</v>
      </c>
      <c r="AD65" s="417" t="str">
        <f t="shared" si="65"/>
        <v>n.a.</v>
      </c>
      <c r="AE65" s="417" t="str">
        <f t="shared" si="65"/>
        <v>n.a.</v>
      </c>
      <c r="AF65" s="417" t="str">
        <f t="shared" si="65"/>
        <v>n.a.</v>
      </c>
      <c r="AG65" s="417" t="str">
        <f t="shared" si="65"/>
        <v>n.a.</v>
      </c>
      <c r="AH65" s="417" t="str">
        <f t="shared" si="65"/>
        <v>n.a.</v>
      </c>
      <c r="AI65" s="418">
        <f t="shared" si="46"/>
        <v>0</v>
      </c>
      <c r="AL65" s="12"/>
    </row>
    <row r="66" spans="2:38" ht="15.75" customHeight="1" thickBot="1" x14ac:dyDescent="0.35">
      <c r="B66" s="15"/>
      <c r="C66" s="129">
        <f t="shared" si="60"/>
        <v>15</v>
      </c>
      <c r="D66" s="422">
        <f>W25</f>
        <v>0</v>
      </c>
      <c r="E66" s="425"/>
      <c r="F66" s="425"/>
      <c r="G66" s="422">
        <f t="shared" si="47"/>
        <v>0</v>
      </c>
      <c r="H66" s="422"/>
      <c r="I66" s="426"/>
      <c r="J66" s="417" t="str">
        <f>IF(AND($I25&gt;=J$33,$I25&lt;&gt;""),$G66,"n.a.")</f>
        <v>n.a.</v>
      </c>
      <c r="K66" s="417" t="str">
        <f t="shared" ref="K66:AH66" si="66">IF(AND($I25&gt;=K$33,$I25&lt;&gt;""),$G66,"n.a.")</f>
        <v>n.a.</v>
      </c>
      <c r="L66" s="417" t="str">
        <f t="shared" si="66"/>
        <v>n.a.</v>
      </c>
      <c r="M66" s="417" t="str">
        <f t="shared" si="66"/>
        <v>n.a.</v>
      </c>
      <c r="N66" s="417" t="str">
        <f t="shared" si="66"/>
        <v>n.a.</v>
      </c>
      <c r="O66" s="417" t="str">
        <f t="shared" si="66"/>
        <v>n.a.</v>
      </c>
      <c r="P66" s="417" t="str">
        <f t="shared" si="66"/>
        <v>n.a.</v>
      </c>
      <c r="Q66" s="417" t="str">
        <f t="shared" si="66"/>
        <v>n.a.</v>
      </c>
      <c r="R66" s="417" t="str">
        <f t="shared" si="66"/>
        <v>n.a.</v>
      </c>
      <c r="S66" s="417" t="str">
        <f t="shared" si="66"/>
        <v>n.a.</v>
      </c>
      <c r="T66" s="417" t="str">
        <f t="shared" si="66"/>
        <v>n.a.</v>
      </c>
      <c r="U66" s="417" t="str">
        <f t="shared" si="66"/>
        <v>n.a.</v>
      </c>
      <c r="V66" s="417" t="str">
        <f t="shared" si="66"/>
        <v>n.a.</v>
      </c>
      <c r="W66" s="417" t="str">
        <f t="shared" si="66"/>
        <v>n.a.</v>
      </c>
      <c r="X66" s="417" t="str">
        <f t="shared" si="66"/>
        <v>n.a.</v>
      </c>
      <c r="Y66" s="417" t="str">
        <f t="shared" si="66"/>
        <v>n.a.</v>
      </c>
      <c r="Z66" s="417" t="str">
        <f t="shared" si="66"/>
        <v>n.a.</v>
      </c>
      <c r="AA66" s="417" t="str">
        <f t="shared" si="66"/>
        <v>n.a.</v>
      </c>
      <c r="AB66" s="417" t="str">
        <f t="shared" si="66"/>
        <v>n.a.</v>
      </c>
      <c r="AC66" s="417" t="str">
        <f t="shared" si="66"/>
        <v>n.a.</v>
      </c>
      <c r="AD66" s="417" t="str">
        <f t="shared" si="66"/>
        <v>n.a.</v>
      </c>
      <c r="AE66" s="417" t="str">
        <f t="shared" si="66"/>
        <v>n.a.</v>
      </c>
      <c r="AF66" s="417" t="str">
        <f t="shared" si="66"/>
        <v>n.a.</v>
      </c>
      <c r="AG66" s="417" t="str">
        <f t="shared" si="66"/>
        <v>n.a.</v>
      </c>
      <c r="AH66" s="417" t="str">
        <f t="shared" si="66"/>
        <v>n.a.</v>
      </c>
      <c r="AI66" s="419">
        <f>SUM(P66:AH66)</f>
        <v>0</v>
      </c>
      <c r="AL66" s="12"/>
    </row>
    <row r="67" spans="2:38" ht="15" thickBot="1" x14ac:dyDescent="0.35">
      <c r="B67" s="15"/>
      <c r="C67" s="131"/>
      <c r="D67" s="423"/>
      <c r="E67" s="423"/>
      <c r="F67" s="423"/>
      <c r="G67" s="424"/>
      <c r="H67" s="424"/>
      <c r="I67" s="427" t="s">
        <v>54</v>
      </c>
      <c r="J67" s="420">
        <f t="shared" ref="J67:AH67" si="67">SUM(J52:J66)</f>
        <v>0</v>
      </c>
      <c r="K67" s="420">
        <f t="shared" si="67"/>
        <v>0</v>
      </c>
      <c r="L67" s="420">
        <f t="shared" si="67"/>
        <v>0</v>
      </c>
      <c r="M67" s="420">
        <f t="shared" si="67"/>
        <v>0</v>
      </c>
      <c r="N67" s="420">
        <f t="shared" si="67"/>
        <v>0</v>
      </c>
      <c r="O67" s="420">
        <f t="shared" si="67"/>
        <v>0</v>
      </c>
      <c r="P67" s="420">
        <f t="shared" si="67"/>
        <v>0</v>
      </c>
      <c r="Q67" s="420">
        <f t="shared" si="67"/>
        <v>0</v>
      </c>
      <c r="R67" s="420">
        <f t="shared" si="67"/>
        <v>0</v>
      </c>
      <c r="S67" s="420">
        <f t="shared" si="67"/>
        <v>0</v>
      </c>
      <c r="T67" s="420">
        <f t="shared" si="67"/>
        <v>0</v>
      </c>
      <c r="U67" s="420">
        <f t="shared" si="67"/>
        <v>0</v>
      </c>
      <c r="V67" s="420">
        <f t="shared" si="67"/>
        <v>0</v>
      </c>
      <c r="W67" s="420">
        <f t="shared" si="67"/>
        <v>0</v>
      </c>
      <c r="X67" s="420">
        <f t="shared" si="67"/>
        <v>0</v>
      </c>
      <c r="Y67" s="420">
        <f t="shared" si="67"/>
        <v>0</v>
      </c>
      <c r="Z67" s="420">
        <f t="shared" si="67"/>
        <v>0</v>
      </c>
      <c r="AA67" s="420">
        <f t="shared" si="67"/>
        <v>0</v>
      </c>
      <c r="AB67" s="420">
        <f t="shared" si="67"/>
        <v>0</v>
      </c>
      <c r="AC67" s="420">
        <f t="shared" si="67"/>
        <v>0</v>
      </c>
      <c r="AD67" s="420">
        <f t="shared" si="67"/>
        <v>0</v>
      </c>
      <c r="AE67" s="420">
        <f t="shared" si="67"/>
        <v>0</v>
      </c>
      <c r="AF67" s="420">
        <f t="shared" si="67"/>
        <v>0</v>
      </c>
      <c r="AG67" s="420">
        <f t="shared" si="67"/>
        <v>0</v>
      </c>
      <c r="AH67" s="420">
        <f t="shared" si="67"/>
        <v>0</v>
      </c>
      <c r="AI67" s="421">
        <f>SUM(AI52:AI66)</f>
        <v>0</v>
      </c>
      <c r="AL67" s="12"/>
    </row>
    <row r="68" spans="2:38" ht="24.75" customHeight="1" thickBot="1" x14ac:dyDescent="0.35">
      <c r="B68" s="15"/>
      <c r="C68" s="133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590"/>
      <c r="W68" s="591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7"/>
      <c r="AK68" s="76"/>
      <c r="AL68" s="12"/>
    </row>
    <row r="69" spans="2:38" ht="24.75" customHeight="1" x14ac:dyDescent="0.3">
      <c r="B69" s="15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K69" s="76"/>
      <c r="AL69" s="12"/>
    </row>
    <row r="70" spans="2:38" x14ac:dyDescent="0.3">
      <c r="B70" s="15"/>
      <c r="C70" s="2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K70" s="76"/>
      <c r="AL70" s="12"/>
    </row>
    <row r="71" spans="2:38" x14ac:dyDescent="0.3">
      <c r="B71" s="15"/>
      <c r="C71" s="2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K71" s="76"/>
      <c r="AL71" s="12"/>
    </row>
    <row r="72" spans="2:38" ht="15" thickBot="1" x14ac:dyDescent="0.35">
      <c r="B72" s="139"/>
      <c r="C72" s="346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30"/>
    </row>
    <row r="73" spans="2:38" x14ac:dyDescent="0.3">
      <c r="AD73" s="3"/>
      <c r="AE73" s="3"/>
      <c r="AK73" s="76"/>
    </row>
    <row r="74" spans="2:38" x14ac:dyDescent="0.3">
      <c r="AD74" s="3"/>
      <c r="AE74" s="3"/>
      <c r="AK74" s="76"/>
    </row>
    <row r="75" spans="2:38" x14ac:dyDescent="0.3">
      <c r="AK75" s="76"/>
    </row>
    <row r="76" spans="2:38" x14ac:dyDescent="0.3">
      <c r="AK76" s="76"/>
    </row>
    <row r="77" spans="2:38" x14ac:dyDescent="0.3">
      <c r="AK77" s="76"/>
    </row>
    <row r="78" spans="2:38" x14ac:dyDescent="0.3">
      <c r="AK78" s="76"/>
    </row>
    <row r="79" spans="2:38" x14ac:dyDescent="0.3">
      <c r="AK79" s="76"/>
    </row>
    <row r="80" spans="2:38" x14ac:dyDescent="0.3">
      <c r="C80" s="3"/>
      <c r="AD80" s="3"/>
      <c r="AE80" s="3"/>
      <c r="AK80" s="76"/>
    </row>
    <row r="81" spans="3:37" x14ac:dyDescent="0.3">
      <c r="C81" s="3"/>
      <c r="AD81" s="3"/>
      <c r="AE81" s="3"/>
      <c r="AK81" s="76"/>
    </row>
    <row r="82" spans="3:37" x14ac:dyDescent="0.3">
      <c r="C82" s="3"/>
      <c r="AD82" s="3"/>
      <c r="AE82" s="3"/>
      <c r="AK82" s="76"/>
    </row>
    <row r="83" spans="3:37" x14ac:dyDescent="0.3">
      <c r="C83" s="3"/>
      <c r="AD83" s="3"/>
      <c r="AE83" s="3"/>
      <c r="AK83" s="76"/>
    </row>
    <row r="84" spans="3:37" x14ac:dyDescent="0.3">
      <c r="C84" s="3"/>
      <c r="AD84" s="3"/>
      <c r="AE84" s="3"/>
      <c r="AK84" s="76"/>
    </row>
    <row r="85" spans="3:37" x14ac:dyDescent="0.3">
      <c r="C85" s="3"/>
      <c r="AD85" s="3"/>
      <c r="AE85" s="3"/>
      <c r="AK85" s="76"/>
    </row>
    <row r="86" spans="3:37" x14ac:dyDescent="0.3">
      <c r="C86" s="3"/>
      <c r="AD86" s="3"/>
      <c r="AE86" s="3"/>
      <c r="AK86" s="76"/>
    </row>
    <row r="87" spans="3:37" x14ac:dyDescent="0.3">
      <c r="C87" s="3"/>
      <c r="AD87" s="3"/>
      <c r="AE87" s="3"/>
      <c r="AK87" s="76"/>
    </row>
    <row r="88" spans="3:37" x14ac:dyDescent="0.3">
      <c r="C88" s="3"/>
      <c r="AD88" s="3"/>
      <c r="AE88" s="3"/>
      <c r="AK88" s="76"/>
    </row>
    <row r="89" spans="3:37" x14ac:dyDescent="0.3">
      <c r="C89" s="3"/>
      <c r="AD89" s="3"/>
      <c r="AE89" s="3"/>
      <c r="AK89" s="76"/>
    </row>
    <row r="90" spans="3:37" x14ac:dyDescent="0.3">
      <c r="C90" s="3"/>
      <c r="AD90" s="3"/>
      <c r="AE90" s="3"/>
      <c r="AK90" s="76"/>
    </row>
    <row r="91" spans="3:37" x14ac:dyDescent="0.3">
      <c r="C91" s="3"/>
      <c r="AD91" s="3"/>
      <c r="AE91" s="3"/>
      <c r="AK91" s="76"/>
    </row>
    <row r="92" spans="3:37" x14ac:dyDescent="0.3">
      <c r="C92" s="3"/>
      <c r="AD92" s="3"/>
      <c r="AE92" s="3"/>
      <c r="AK92" s="76"/>
    </row>
    <row r="93" spans="3:37" x14ac:dyDescent="0.3">
      <c r="C93" s="3"/>
      <c r="AD93" s="3"/>
      <c r="AE93" s="3"/>
      <c r="AK93" s="76"/>
    </row>
    <row r="94" spans="3:37" x14ac:dyDescent="0.3">
      <c r="C94" s="3"/>
      <c r="AD94" s="3"/>
      <c r="AE94" s="3"/>
      <c r="AK94" s="76"/>
    </row>
    <row r="95" spans="3:37" x14ac:dyDescent="0.3">
      <c r="C95" s="3"/>
      <c r="AD95" s="3"/>
      <c r="AE95" s="3"/>
      <c r="AK95" s="76"/>
    </row>
    <row r="96" spans="3:37" x14ac:dyDescent="0.3">
      <c r="C96" s="3"/>
      <c r="AD96" s="3"/>
      <c r="AE96" s="3"/>
      <c r="AK96" s="76"/>
    </row>
    <row r="97" spans="3:37" x14ac:dyDescent="0.3">
      <c r="C97" s="3"/>
      <c r="AD97" s="3"/>
      <c r="AE97" s="3"/>
      <c r="AK97" s="76"/>
    </row>
    <row r="98" spans="3:37" x14ac:dyDescent="0.3">
      <c r="C98" s="3"/>
      <c r="AD98" s="3"/>
      <c r="AE98" s="3"/>
      <c r="AK98" s="76"/>
    </row>
    <row r="99" spans="3:37" x14ac:dyDescent="0.3">
      <c r="C99" s="3"/>
      <c r="AD99" s="3"/>
      <c r="AE99" s="3"/>
      <c r="AK99" s="76"/>
    </row>
    <row r="100" spans="3:37" x14ac:dyDescent="0.3">
      <c r="C100" s="3"/>
      <c r="AD100" s="3"/>
      <c r="AE100" s="3"/>
      <c r="AK100" s="76"/>
    </row>
    <row r="101" spans="3:37" x14ac:dyDescent="0.3">
      <c r="C101" s="3"/>
      <c r="AD101" s="3"/>
      <c r="AE101" s="3"/>
      <c r="AK101" s="76"/>
    </row>
    <row r="102" spans="3:37" x14ac:dyDescent="0.3">
      <c r="C102" s="3"/>
      <c r="AD102" s="3"/>
      <c r="AE102" s="3"/>
      <c r="AK102" s="76"/>
    </row>
    <row r="103" spans="3:37" x14ac:dyDescent="0.3">
      <c r="C103" s="3"/>
      <c r="AD103" s="3"/>
      <c r="AE103" s="3"/>
      <c r="AK103" s="76"/>
    </row>
    <row r="104" spans="3:37" x14ac:dyDescent="0.3">
      <c r="C104" s="3"/>
      <c r="AD104" s="3"/>
      <c r="AE104" s="3"/>
      <c r="AK104" s="76"/>
    </row>
    <row r="105" spans="3:37" x14ac:dyDescent="0.3">
      <c r="C105" s="3"/>
      <c r="AD105" s="3"/>
      <c r="AE105" s="3"/>
      <c r="AK105" s="76"/>
    </row>
    <row r="106" spans="3:37" x14ac:dyDescent="0.3">
      <c r="C106" s="3"/>
      <c r="AD106" s="3"/>
      <c r="AE106" s="3"/>
      <c r="AK106" s="76"/>
    </row>
    <row r="108" spans="3:37" x14ac:dyDescent="0.3">
      <c r="C108" s="3"/>
      <c r="AD108" s="3"/>
      <c r="AE108" s="3"/>
      <c r="AK108" s="76"/>
    </row>
    <row r="110" spans="3:37" x14ac:dyDescent="0.3">
      <c r="C110" s="3"/>
      <c r="AD110" s="3"/>
      <c r="AE110" s="3"/>
      <c r="AK110" s="76"/>
    </row>
    <row r="112" spans="3:37" x14ac:dyDescent="0.3">
      <c r="C112" s="3"/>
      <c r="AD112" s="3"/>
      <c r="AE112" s="3"/>
      <c r="AK112" s="76"/>
    </row>
    <row r="114" spans="3:37" x14ac:dyDescent="0.3">
      <c r="C114" s="3"/>
      <c r="AD114" s="3"/>
      <c r="AE114" s="3"/>
      <c r="AK114" s="76"/>
    </row>
    <row r="116" spans="3:37" x14ac:dyDescent="0.3">
      <c r="C116" s="3"/>
      <c r="AD116" s="3"/>
      <c r="AE116" s="3"/>
      <c r="AK116" s="76"/>
    </row>
    <row r="118" spans="3:37" x14ac:dyDescent="0.3">
      <c r="C118" s="3"/>
      <c r="AD118" s="3"/>
      <c r="AE118" s="3"/>
      <c r="AK118" s="76"/>
    </row>
    <row r="120" spans="3:37" x14ac:dyDescent="0.3">
      <c r="C120" s="3"/>
      <c r="AD120" s="3"/>
      <c r="AE120" s="3"/>
      <c r="AK120" s="76"/>
    </row>
    <row r="121" spans="3:37" x14ac:dyDescent="0.3">
      <c r="C121" s="3"/>
      <c r="AD121" s="3"/>
      <c r="AE121" s="3"/>
      <c r="AK121" s="3">
        <v>76</v>
      </c>
    </row>
    <row r="122" spans="3:37" x14ac:dyDescent="0.3">
      <c r="C122" s="3"/>
      <c r="AD122" s="3"/>
      <c r="AE122" s="3"/>
      <c r="AK122" s="76">
        <v>77</v>
      </c>
    </row>
    <row r="123" spans="3:37" x14ac:dyDescent="0.3">
      <c r="C123" s="3"/>
      <c r="AD123" s="3"/>
      <c r="AE123" s="3"/>
      <c r="AK123" s="3">
        <v>78</v>
      </c>
    </row>
  </sheetData>
  <sheetProtection algorithmName="SHA-512" hashValue="Ktu8hD2H9vb5raEohvgibtVzR1hi+C8P3s18BMadtS9K3lp8B1lhXP1uw1M4oPwYASKVdUq8tpBbXGg25ewi1g==" saltValue="ryWyagsnlM+g3Kpv7lSYhg==" spinCount="100000" sheet="1" objects="1" scenarios="1" insertRows="0" selectLockedCells="1"/>
  <protectedRanges>
    <protectedRange sqref="R21:V25 AC21:AE25 AG21:AH25 D21:N25 AG10:AH19 J10:N19 D10:H19 AC10:AE19 R10:V19" name="Folha5"/>
  </protectedRanges>
  <mergeCells count="26">
    <mergeCell ref="AG6:AK6"/>
    <mergeCell ref="C3:E3"/>
    <mergeCell ref="C4:I4"/>
    <mergeCell ref="C5:E5"/>
    <mergeCell ref="J6:Q6"/>
    <mergeCell ref="R6:AF6"/>
    <mergeCell ref="J7:O7"/>
    <mergeCell ref="R7:W7"/>
    <mergeCell ref="Z7:AA7"/>
    <mergeCell ref="K8:N8"/>
    <mergeCell ref="C9:D9"/>
    <mergeCell ref="C20:D20"/>
    <mergeCell ref="K21:N25"/>
    <mergeCell ref="K26:N26"/>
    <mergeCell ref="C27:D27"/>
    <mergeCell ref="C28:D28"/>
    <mergeCell ref="E21:E25"/>
    <mergeCell ref="E10:E19"/>
    <mergeCell ref="J32:AH32"/>
    <mergeCell ref="G33:I33"/>
    <mergeCell ref="G51:I51"/>
    <mergeCell ref="S8:V8"/>
    <mergeCell ref="J31:AI31"/>
    <mergeCell ref="K10:N19"/>
    <mergeCell ref="S10:V19"/>
    <mergeCell ref="S21:V25"/>
  </mergeCells>
  <pageMargins left="0.7" right="0.7" top="0.75" bottom="0.75" header="0.3" footer="0.3"/>
  <pageSetup paperSize="9" orientation="portrait" r:id="rId1"/>
  <ignoredErrors>
    <ignoredError sqref="Y2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'15. Valores-Padrão'!$C$33:$C$40</xm:f>
          </x14:formula1>
          <xm:sqref>F10:F19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/>
  <dimension ref="B1:BA75"/>
  <sheetViews>
    <sheetView showGridLines="0" zoomScaleNormal="100" workbookViewId="0">
      <selection activeCell="I11" sqref="I11"/>
    </sheetView>
  </sheetViews>
  <sheetFormatPr defaultColWidth="9.109375" defaultRowHeight="14.4" x14ac:dyDescent="0.3"/>
  <cols>
    <col min="1" max="1" width="4.44140625" style="3" customWidth="1"/>
    <col min="2" max="2" width="5.44140625" style="3" customWidth="1"/>
    <col min="3" max="3" width="11.6640625" style="1" customWidth="1"/>
    <col min="4" max="4" width="40.44140625" style="1" customWidth="1"/>
    <col min="5" max="5" width="74" style="3" customWidth="1"/>
    <col min="6" max="13" width="13.5546875" style="3" customWidth="1"/>
    <col min="14" max="14" width="6.5546875" style="3" customWidth="1"/>
    <col min="15" max="19" width="15.6640625" style="3" bestFit="1" customWidth="1"/>
    <col min="20" max="20" width="18" style="3" bestFit="1" customWidth="1"/>
    <col min="21" max="21" width="12.88671875" style="3" customWidth="1"/>
    <col min="22" max="22" width="9.109375" style="3"/>
    <col min="23" max="23" width="11.88671875" style="3" customWidth="1"/>
    <col min="24" max="16384" width="9.109375" style="3"/>
  </cols>
  <sheetData>
    <row r="1" spans="2:35" ht="15.75" thickBot="1" x14ac:dyDescent="0.3"/>
    <row r="2" spans="2:35" ht="15" x14ac:dyDescent="0.25">
      <c r="B2" s="55"/>
      <c r="C2" s="56"/>
      <c r="D2" s="56"/>
      <c r="E2" s="7"/>
      <c r="F2" s="7"/>
      <c r="G2" s="7"/>
      <c r="H2" s="7"/>
      <c r="I2" s="7"/>
      <c r="J2" s="7"/>
      <c r="K2" s="7"/>
      <c r="L2" s="7"/>
      <c r="M2" s="7"/>
      <c r="N2" s="8"/>
    </row>
    <row r="3" spans="2:35" ht="21" x14ac:dyDescent="0.25">
      <c r="B3" s="15"/>
      <c r="C3" s="937" t="s">
        <v>33</v>
      </c>
      <c r="D3" s="937"/>
      <c r="E3" s="937"/>
      <c r="F3" s="10"/>
      <c r="G3" s="10"/>
      <c r="H3" s="11"/>
      <c r="I3" s="11"/>
      <c r="J3" s="11"/>
      <c r="K3" s="11"/>
      <c r="L3" s="11"/>
      <c r="M3" s="11"/>
      <c r="N3" s="12"/>
    </row>
    <row r="4" spans="2:35" ht="50.25" customHeight="1" x14ac:dyDescent="0.3">
      <c r="B4" s="15"/>
      <c r="C4" s="985" t="s">
        <v>456</v>
      </c>
      <c r="D4" s="985"/>
      <c r="E4" s="985"/>
      <c r="F4" s="985"/>
      <c r="G4" s="985"/>
      <c r="H4" s="985"/>
      <c r="I4" s="985"/>
      <c r="J4" s="985"/>
      <c r="K4" s="985"/>
      <c r="L4" s="985"/>
      <c r="M4" s="985"/>
      <c r="N4" s="12"/>
      <c r="AD4" s="172"/>
      <c r="AE4" s="172"/>
      <c r="AF4" s="172"/>
      <c r="AG4" s="172"/>
      <c r="AH4" s="172"/>
      <c r="AI4" s="172"/>
    </row>
    <row r="5" spans="2:35" ht="18" x14ac:dyDescent="0.3">
      <c r="B5" s="15"/>
      <c r="C5" s="1124" t="s">
        <v>35</v>
      </c>
      <c r="D5" s="1124"/>
      <c r="E5" s="1124"/>
      <c r="F5" s="1124"/>
      <c r="G5" s="1124"/>
      <c r="H5" s="1124"/>
      <c r="I5" s="1124"/>
      <c r="J5" s="1124"/>
      <c r="K5" s="1124"/>
      <c r="L5" s="1124"/>
      <c r="M5" s="1124"/>
      <c r="N5" s="12"/>
      <c r="AD5" s="172"/>
      <c r="AE5" s="172"/>
      <c r="AF5" s="172"/>
      <c r="AG5" s="172"/>
      <c r="AH5" s="172"/>
      <c r="AI5" s="172"/>
    </row>
    <row r="6" spans="2:35" ht="15" x14ac:dyDescent="0.25">
      <c r="B6" s="1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AD6" s="172"/>
      <c r="AE6" s="172"/>
      <c r="AF6" s="172"/>
      <c r="AG6" s="172"/>
      <c r="AH6" s="172"/>
      <c r="AI6" s="172"/>
    </row>
    <row r="7" spans="2:35" s="63" customFormat="1" ht="15" x14ac:dyDescent="0.25">
      <c r="B7" s="59"/>
      <c r="C7" s="60"/>
      <c r="D7" s="60"/>
      <c r="E7" s="61"/>
      <c r="F7" s="61"/>
      <c r="G7" s="61"/>
      <c r="H7" s="1121" t="s">
        <v>0</v>
      </c>
      <c r="I7" s="1122"/>
      <c r="J7" s="1122"/>
      <c r="K7" s="1122"/>
      <c r="L7" s="1122"/>
      <c r="M7" s="1123"/>
      <c r="N7" s="141"/>
      <c r="AD7" s="172"/>
      <c r="AE7" s="172"/>
      <c r="AF7" s="172"/>
      <c r="AG7" s="172"/>
      <c r="AH7" s="172"/>
      <c r="AI7" s="172"/>
    </row>
    <row r="8" spans="2:35" s="76" customFormat="1" ht="51.75" customHeight="1" thickBot="1" x14ac:dyDescent="0.35">
      <c r="B8" s="64"/>
      <c r="C8" s="65"/>
      <c r="D8" s="65"/>
      <c r="E8" s="66"/>
      <c r="F8" s="1119" t="s">
        <v>8</v>
      </c>
      <c r="G8" s="1120"/>
      <c r="H8" s="164" t="s">
        <v>194</v>
      </c>
      <c r="I8" s="165" t="s">
        <v>142</v>
      </c>
      <c r="J8" s="1125" t="s">
        <v>245</v>
      </c>
      <c r="K8" s="1125"/>
      <c r="L8" s="791" t="s">
        <v>339</v>
      </c>
      <c r="M8" s="791" t="s">
        <v>50</v>
      </c>
      <c r="N8" s="62"/>
      <c r="AD8" s="172"/>
      <c r="AE8" s="172"/>
      <c r="AF8" s="172"/>
      <c r="AG8" s="172"/>
      <c r="AH8" s="172"/>
      <c r="AI8" s="172"/>
    </row>
    <row r="9" spans="2:35" s="76" customFormat="1" ht="63" customHeight="1" x14ac:dyDescent="0.3">
      <c r="B9" s="64"/>
      <c r="C9" s="77" t="s">
        <v>10</v>
      </c>
      <c r="D9" s="322" t="s">
        <v>11</v>
      </c>
      <c r="E9" s="78" t="s">
        <v>37</v>
      </c>
      <c r="F9" s="78" t="s">
        <v>240</v>
      </c>
      <c r="G9" s="78" t="s">
        <v>239</v>
      </c>
      <c r="H9" s="78" t="s">
        <v>116</v>
      </c>
      <c r="I9" s="87" t="s">
        <v>116</v>
      </c>
      <c r="J9" s="82" t="s">
        <v>193</v>
      </c>
      <c r="K9" s="82" t="s">
        <v>116</v>
      </c>
      <c r="L9" s="82" t="s">
        <v>116</v>
      </c>
      <c r="M9" s="747" t="s">
        <v>116</v>
      </c>
      <c r="N9" s="62"/>
      <c r="AD9" s="172"/>
      <c r="AE9" s="172"/>
      <c r="AF9" s="172"/>
      <c r="AG9" s="172"/>
      <c r="AH9" s="172"/>
      <c r="AI9" s="172"/>
    </row>
    <row r="10" spans="2:35" s="76" customFormat="1" ht="36.75" customHeight="1" x14ac:dyDescent="0.3">
      <c r="B10" s="64"/>
      <c r="C10" s="989" t="s">
        <v>375</v>
      </c>
      <c r="D10" s="990"/>
      <c r="E10" s="990"/>
      <c r="F10" s="88"/>
      <c r="G10" s="88"/>
      <c r="H10" s="88"/>
      <c r="I10" s="88"/>
      <c r="J10" s="88"/>
      <c r="K10" s="88"/>
      <c r="L10" s="88"/>
      <c r="M10" s="90"/>
      <c r="N10" s="62"/>
      <c r="AD10" s="172"/>
      <c r="AE10" s="172"/>
      <c r="AF10" s="172"/>
      <c r="AG10" s="172"/>
      <c r="AH10" s="172"/>
      <c r="AI10" s="172"/>
    </row>
    <row r="11" spans="2:35" ht="32.25" customHeight="1" x14ac:dyDescent="0.25">
      <c r="B11" s="15"/>
      <c r="C11" s="91">
        <v>1</v>
      </c>
      <c r="D11" s="701"/>
      <c r="E11" s="633"/>
      <c r="F11" s="790" t="str">
        <f>IF(E11="","",VLOOKUP(E11,'15. Valores-Padrão'!$C$46:$E$49,2,FALSE))</f>
        <v/>
      </c>
      <c r="G11" s="792">
        <f>IF(E11="",0,'1. Identificação Ben. Oper.'!$D$44)</f>
        <v>0</v>
      </c>
      <c r="H11" s="630"/>
      <c r="I11" s="630"/>
      <c r="J11" s="603">
        <f>IF(E11="",0,VLOOKUP(E11,'15. Valores-Padrão'!$C$46:$E$49,3,FALSE))</f>
        <v>0</v>
      </c>
      <c r="K11" s="603">
        <f>IF(G11=0,0,J11*G11)</f>
        <v>0</v>
      </c>
      <c r="L11" s="705"/>
      <c r="M11" s="744">
        <f>IF(H11="",0,IF(H11&lt;K11,H11+I11-L11,IF(((K11+K11*(I11/H11))-L11)&lt;0,0,K11+K11*(I11/H11)-L11)))</f>
        <v>0</v>
      </c>
      <c r="N11" s="12"/>
      <c r="AD11" s="172"/>
      <c r="AE11" s="172"/>
      <c r="AF11" s="172"/>
      <c r="AG11" s="172"/>
      <c r="AH11" s="172"/>
      <c r="AI11" s="172"/>
    </row>
    <row r="12" spans="2:35" ht="32.25" customHeight="1" x14ac:dyDescent="0.25">
      <c r="B12" s="15"/>
      <c r="C12" s="91">
        <v>2</v>
      </c>
      <c r="D12" s="701"/>
      <c r="E12" s="633"/>
      <c r="F12" s="790" t="str">
        <f>IF(E12="","",VLOOKUP(E12,'15. Valores-Padrão'!$C$46:$E$49,2,FALSE))</f>
        <v/>
      </c>
      <c r="G12" s="792">
        <f>IF(E12="",0,'1. Identificação Ben. Oper.'!$D$44)</f>
        <v>0</v>
      </c>
      <c r="H12" s="630"/>
      <c r="I12" s="630"/>
      <c r="J12" s="603">
        <f>IF(E12="",0,VLOOKUP(E12,'15. Valores-Padrão'!$C$46:$E$49,3,FALSE))</f>
        <v>0</v>
      </c>
      <c r="K12" s="603">
        <f t="shared" ref="K12:K13" si="0">IF(G12=0,0,J12*G12)</f>
        <v>0</v>
      </c>
      <c r="L12" s="705"/>
      <c r="M12" s="744">
        <f t="shared" ref="M12:M13" si="1">IF(H12="",0,IF(H12&lt;K12,H12+I12-L12,IF(((K12+K12*(I12/H12))-L12)&lt;0,0,K12+K12*(I12/H12)-L12)))</f>
        <v>0</v>
      </c>
      <c r="N12" s="12"/>
      <c r="AD12" s="172"/>
      <c r="AE12" s="172"/>
      <c r="AF12" s="172"/>
      <c r="AG12" s="172"/>
      <c r="AH12" s="172"/>
      <c r="AI12" s="172"/>
    </row>
    <row r="13" spans="2:35" ht="32.25" customHeight="1" x14ac:dyDescent="0.3">
      <c r="B13" s="15"/>
      <c r="C13" s="91">
        <v>3</v>
      </c>
      <c r="D13" s="701"/>
      <c r="E13" s="633"/>
      <c r="F13" s="790" t="str">
        <f>IF(E13="","",VLOOKUP(E13,'15. Valores-Padrão'!$C$46:$E$49,2,FALSE))</f>
        <v/>
      </c>
      <c r="G13" s="792">
        <f>IF(E13="",0,'1. Identificação Ben. Oper.'!D46)</f>
        <v>0</v>
      </c>
      <c r="H13" s="630"/>
      <c r="I13" s="630"/>
      <c r="J13" s="603">
        <f>IF(E13="",0,VLOOKUP(E13,'15. Valores-Padrão'!$C$46:$E$49,3,FALSE))</f>
        <v>0</v>
      </c>
      <c r="K13" s="603">
        <f t="shared" si="0"/>
        <v>0</v>
      </c>
      <c r="L13" s="705"/>
      <c r="M13" s="744">
        <f t="shared" si="1"/>
        <v>0</v>
      </c>
      <c r="N13" s="12"/>
      <c r="AD13" s="172"/>
      <c r="AE13" s="172"/>
      <c r="AF13" s="172"/>
      <c r="AG13" s="172"/>
      <c r="AH13" s="172"/>
      <c r="AI13" s="172"/>
    </row>
    <row r="14" spans="2:35" ht="32.25" customHeight="1" x14ac:dyDescent="0.3">
      <c r="B14" s="15"/>
      <c r="C14" s="989" t="s">
        <v>376</v>
      </c>
      <c r="D14" s="990"/>
      <c r="E14" s="990"/>
      <c r="F14" s="88"/>
      <c r="G14" s="88"/>
      <c r="H14" s="88"/>
      <c r="I14" s="88"/>
      <c r="J14" s="88"/>
      <c r="K14" s="88"/>
      <c r="L14" s="88"/>
      <c r="M14" s="90"/>
      <c r="N14" s="12"/>
      <c r="AD14" s="172"/>
      <c r="AE14" s="172"/>
      <c r="AF14" s="172"/>
      <c r="AG14" s="172"/>
      <c r="AH14" s="172"/>
      <c r="AI14" s="172"/>
    </row>
    <row r="15" spans="2:35" ht="32.25" customHeight="1" x14ac:dyDescent="0.3">
      <c r="B15" s="15"/>
      <c r="C15" s="91">
        <v>4</v>
      </c>
      <c r="D15" s="701"/>
      <c r="E15" s="633"/>
      <c r="F15" s="773" t="s">
        <v>196</v>
      </c>
      <c r="G15" s="657"/>
      <c r="H15" s="630"/>
      <c r="I15" s="630"/>
      <c r="J15" s="773" t="s">
        <v>196</v>
      </c>
      <c r="K15" s="773" t="s">
        <v>196</v>
      </c>
      <c r="L15" s="703"/>
      <c r="M15" s="793">
        <f>H15+I15</f>
        <v>0</v>
      </c>
      <c r="N15" s="12"/>
      <c r="AD15" s="172"/>
      <c r="AE15" s="172"/>
      <c r="AF15" s="172"/>
      <c r="AG15" s="172"/>
      <c r="AH15" s="172"/>
      <c r="AI15" s="172"/>
    </row>
    <row r="16" spans="2:35" ht="32.25" customHeight="1" x14ac:dyDescent="0.3">
      <c r="B16" s="15"/>
      <c r="C16" s="91">
        <v>5</v>
      </c>
      <c r="D16" s="701"/>
      <c r="E16" s="633"/>
      <c r="F16" s="773" t="s">
        <v>196</v>
      </c>
      <c r="G16" s="657"/>
      <c r="H16" s="630"/>
      <c r="I16" s="630"/>
      <c r="J16" s="773" t="s">
        <v>196</v>
      </c>
      <c r="K16" s="773" t="s">
        <v>196</v>
      </c>
      <c r="L16" s="703"/>
      <c r="M16" s="793">
        <f>H16+I16</f>
        <v>0</v>
      </c>
      <c r="N16" s="12"/>
      <c r="AD16" s="172"/>
      <c r="AE16" s="172"/>
      <c r="AF16" s="172"/>
      <c r="AG16" s="172"/>
      <c r="AH16" s="172"/>
      <c r="AI16" s="172"/>
    </row>
    <row r="17" spans="2:53" ht="32.25" customHeight="1" thickBot="1" x14ac:dyDescent="0.35">
      <c r="B17" s="15"/>
      <c r="C17" s="97">
        <v>6</v>
      </c>
      <c r="D17" s="702"/>
      <c r="E17" s="645"/>
      <c r="F17" s="774" t="s">
        <v>196</v>
      </c>
      <c r="G17" s="663"/>
      <c r="H17" s="649"/>
      <c r="I17" s="649"/>
      <c r="J17" s="774" t="s">
        <v>196</v>
      </c>
      <c r="K17" s="774" t="s">
        <v>196</v>
      </c>
      <c r="L17" s="704"/>
      <c r="M17" s="794">
        <f>H17+I17</f>
        <v>0</v>
      </c>
      <c r="N17" s="12"/>
      <c r="AD17" s="172"/>
      <c r="AE17" s="172"/>
      <c r="AF17" s="172"/>
      <c r="AG17" s="172"/>
      <c r="AH17" s="172"/>
      <c r="AI17" s="172"/>
    </row>
    <row r="18" spans="2:53" ht="15" thickBot="1" x14ac:dyDescent="0.35">
      <c r="B18" s="15"/>
      <c r="C18" s="21"/>
      <c r="D18" s="21"/>
      <c r="E18" s="11"/>
      <c r="F18" s="11"/>
      <c r="G18" s="11"/>
      <c r="H18" s="748">
        <f>SUM(H11:H17)</f>
        <v>0</v>
      </c>
      <c r="I18" s="748">
        <f>SUM(I11:I17)</f>
        <v>0</v>
      </c>
      <c r="J18" s="321"/>
      <c r="K18" s="748">
        <f>SUM(K11:K17)</f>
        <v>0</v>
      </c>
      <c r="L18" s="748">
        <f>SUM(L11:L17)</f>
        <v>0</v>
      </c>
      <c r="M18" s="748">
        <f>SUM(M11:M17)</f>
        <v>0</v>
      </c>
      <c r="N18" s="12"/>
      <c r="AE18" s="4"/>
    </row>
    <row r="19" spans="2:53" s="1" customFormat="1" ht="24.9" customHeight="1" thickBot="1" x14ac:dyDescent="0.35">
      <c r="B19" s="9"/>
      <c r="C19" s="21"/>
      <c r="D19" s="21"/>
      <c r="E19" s="173" t="s">
        <v>457</v>
      </c>
      <c r="F19" s="749">
        <f>+H18+I18</f>
        <v>0</v>
      </c>
      <c r="G19" s="21"/>
      <c r="H19" s="60"/>
      <c r="I19" s="60"/>
      <c r="J19" s="60"/>
      <c r="K19" s="60"/>
      <c r="L19" s="60"/>
      <c r="M19" s="99"/>
      <c r="N19" s="100"/>
      <c r="AE19" s="52"/>
    </row>
    <row r="20" spans="2:53" ht="24.9" customHeight="1" thickBot="1" x14ac:dyDescent="0.35">
      <c r="B20" s="9"/>
      <c r="C20" s="21"/>
      <c r="D20" s="21"/>
      <c r="E20" s="173" t="s">
        <v>458</v>
      </c>
      <c r="F20" s="749">
        <f>M18</f>
        <v>0</v>
      </c>
      <c r="G20" s="21"/>
      <c r="N20" s="100"/>
      <c r="AY20" s="76" t="e">
        <f>#REF!</f>
        <v>#REF!</v>
      </c>
      <c r="AZ20" s="76" t="e">
        <f>#REF!</f>
        <v>#REF!</v>
      </c>
      <c r="BA20" s="76" t="e">
        <f>#REF!</f>
        <v>#REF!</v>
      </c>
    </row>
    <row r="21" spans="2:53" ht="24.75" customHeight="1" thickBot="1" x14ac:dyDescent="0.35">
      <c r="B21" s="139"/>
      <c r="C21" s="134"/>
      <c r="D21" s="134"/>
      <c r="E21" s="134"/>
      <c r="F21" s="134"/>
      <c r="G21" s="134"/>
      <c r="H21" s="136"/>
      <c r="I21" s="136"/>
      <c r="J21" s="136"/>
      <c r="K21" s="136"/>
      <c r="L21" s="136"/>
      <c r="M21" s="136"/>
      <c r="N21" s="137"/>
      <c r="O21" s="113"/>
      <c r="P21" s="113"/>
      <c r="Q21" s="113"/>
      <c r="R21" s="113"/>
      <c r="S21" s="113"/>
      <c r="T21" s="113"/>
      <c r="V21" s="76"/>
    </row>
    <row r="22" spans="2:53" x14ac:dyDescent="0.3">
      <c r="V22" s="76"/>
    </row>
    <row r="23" spans="2:53" x14ac:dyDescent="0.3">
      <c r="B23" s="338"/>
      <c r="C23" s="339"/>
      <c r="D23" s="339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V23" s="76"/>
    </row>
    <row r="24" spans="2:53" x14ac:dyDescent="0.3">
      <c r="B24" s="338"/>
      <c r="C24" s="339"/>
      <c r="D24" s="339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V24" s="76"/>
    </row>
    <row r="25" spans="2:53" x14ac:dyDescent="0.3">
      <c r="B25" s="338"/>
      <c r="C25" s="339"/>
      <c r="D25" s="341"/>
      <c r="E25" s="13"/>
      <c r="F25" s="13"/>
      <c r="G25" s="13"/>
      <c r="H25" s="13"/>
      <c r="I25" s="338"/>
      <c r="J25" s="338"/>
      <c r="K25" s="338"/>
      <c r="L25" s="338"/>
      <c r="M25" s="338"/>
      <c r="N25" s="338"/>
      <c r="V25" s="76"/>
    </row>
    <row r="26" spans="2:53" x14ac:dyDescent="0.3">
      <c r="B26" s="338"/>
      <c r="C26" s="339"/>
      <c r="D26" s="341"/>
      <c r="E26" s="319"/>
      <c r="F26" s="13"/>
      <c r="G26" s="428"/>
      <c r="H26" s="13"/>
      <c r="I26" s="338"/>
      <c r="J26" s="338"/>
      <c r="K26" s="338"/>
      <c r="L26" s="338"/>
      <c r="M26" s="338"/>
      <c r="N26" s="338"/>
      <c r="V26" s="76"/>
    </row>
    <row r="27" spans="2:53" x14ac:dyDescent="0.3">
      <c r="B27" s="338"/>
      <c r="C27" s="339"/>
      <c r="D27" s="341"/>
      <c r="E27" s="319"/>
      <c r="F27" s="13"/>
      <c r="G27" s="13"/>
      <c r="H27" s="13"/>
      <c r="I27" s="338"/>
      <c r="J27" s="338"/>
      <c r="K27" s="338"/>
      <c r="L27" s="338"/>
      <c r="M27" s="338"/>
      <c r="N27" s="338"/>
      <c r="V27" s="76"/>
    </row>
    <row r="28" spans="2:53" x14ac:dyDescent="0.3">
      <c r="B28" s="338"/>
      <c r="C28" s="339"/>
      <c r="D28" s="339"/>
      <c r="E28" s="340"/>
      <c r="F28" s="338"/>
      <c r="G28" s="338"/>
      <c r="H28" s="338"/>
      <c r="I28" s="338"/>
      <c r="J28" s="338"/>
      <c r="K28" s="338"/>
      <c r="L28" s="338"/>
      <c r="M28" s="338"/>
      <c r="N28" s="338"/>
      <c r="V28" s="76"/>
    </row>
    <row r="29" spans="2:53" x14ac:dyDescent="0.3">
      <c r="B29" s="338"/>
      <c r="C29" s="339"/>
      <c r="D29" s="339"/>
      <c r="E29" s="340"/>
      <c r="F29" s="338"/>
      <c r="G29" s="338"/>
      <c r="H29" s="338"/>
      <c r="I29" s="338"/>
      <c r="J29" s="338"/>
      <c r="K29" s="338"/>
      <c r="L29" s="338"/>
      <c r="M29" s="338"/>
      <c r="N29" s="338"/>
      <c r="V29" s="76"/>
    </row>
    <row r="30" spans="2:53" x14ac:dyDescent="0.3">
      <c r="B30" s="338"/>
      <c r="C30" s="339"/>
      <c r="D30" s="339"/>
      <c r="E30" s="340"/>
      <c r="F30" s="338"/>
      <c r="G30" s="338"/>
      <c r="H30" s="338"/>
      <c r="I30" s="338"/>
      <c r="J30" s="338"/>
      <c r="K30" s="338"/>
      <c r="L30" s="338"/>
      <c r="M30" s="338"/>
      <c r="N30" s="338"/>
      <c r="V30" s="76"/>
    </row>
    <row r="31" spans="2:53" x14ac:dyDescent="0.3">
      <c r="B31" s="338"/>
      <c r="C31" s="339"/>
      <c r="D31" s="339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V31" s="76"/>
    </row>
    <row r="32" spans="2:53" x14ac:dyDescent="0.3">
      <c r="B32" s="338"/>
      <c r="C32" s="339"/>
      <c r="D32" s="339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V32" s="76"/>
    </row>
    <row r="33" spans="2:22" x14ac:dyDescent="0.3">
      <c r="B33" s="338"/>
      <c r="C33" s="339"/>
      <c r="D33" s="339"/>
      <c r="E33" s="338"/>
      <c r="F33" s="338"/>
      <c r="G33" s="338"/>
      <c r="H33" s="338"/>
      <c r="I33" s="338"/>
      <c r="J33" s="338"/>
      <c r="K33" s="338"/>
      <c r="L33" s="338"/>
      <c r="M33" s="338"/>
      <c r="N33" s="338"/>
      <c r="V33" s="76"/>
    </row>
    <row r="34" spans="2:22" x14ac:dyDescent="0.3">
      <c r="B34" s="338"/>
      <c r="C34" s="339"/>
      <c r="D34" s="339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V34" s="76"/>
    </row>
    <row r="35" spans="2:22" x14ac:dyDescent="0.3">
      <c r="B35" s="338"/>
      <c r="C35" s="339"/>
      <c r="D35" s="339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V35" s="76"/>
    </row>
    <row r="36" spans="2:22" x14ac:dyDescent="0.3">
      <c r="B36" s="338"/>
      <c r="C36" s="339"/>
      <c r="D36" s="339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V36" s="76"/>
    </row>
    <row r="37" spans="2:22" x14ac:dyDescent="0.3">
      <c r="V37" s="76"/>
    </row>
    <row r="38" spans="2:22" x14ac:dyDescent="0.3">
      <c r="V38" s="76"/>
    </row>
    <row r="39" spans="2:22" x14ac:dyDescent="0.3">
      <c r="V39" s="76"/>
    </row>
    <row r="40" spans="2:22" x14ac:dyDescent="0.3">
      <c r="V40" s="76"/>
    </row>
    <row r="41" spans="2:22" x14ac:dyDescent="0.3">
      <c r="V41" s="76"/>
    </row>
    <row r="42" spans="2:22" x14ac:dyDescent="0.3">
      <c r="V42" s="76"/>
    </row>
    <row r="43" spans="2:22" x14ac:dyDescent="0.3">
      <c r="V43" s="76"/>
    </row>
    <row r="44" spans="2:22" x14ac:dyDescent="0.3">
      <c r="V44" s="76"/>
    </row>
    <row r="45" spans="2:22" x14ac:dyDescent="0.3">
      <c r="V45" s="76"/>
    </row>
    <row r="46" spans="2:22" x14ac:dyDescent="0.3">
      <c r="V46" s="76"/>
    </row>
    <row r="47" spans="2:22" x14ac:dyDescent="0.3">
      <c r="V47" s="76"/>
    </row>
    <row r="48" spans="2:22" x14ac:dyDescent="0.3">
      <c r="V48" s="76"/>
    </row>
    <row r="49" spans="22:22" x14ac:dyDescent="0.3">
      <c r="V49" s="76"/>
    </row>
    <row r="50" spans="22:22" x14ac:dyDescent="0.3">
      <c r="V50" s="76"/>
    </row>
    <row r="51" spans="22:22" x14ac:dyDescent="0.3">
      <c r="V51" s="76"/>
    </row>
    <row r="52" spans="22:22" x14ac:dyDescent="0.3">
      <c r="V52" s="76"/>
    </row>
    <row r="53" spans="22:22" x14ac:dyDescent="0.3">
      <c r="V53" s="76"/>
    </row>
    <row r="54" spans="22:22" x14ac:dyDescent="0.3">
      <c r="V54" s="76"/>
    </row>
    <row r="55" spans="22:22" x14ac:dyDescent="0.3">
      <c r="V55" s="76"/>
    </row>
    <row r="56" spans="22:22" x14ac:dyDescent="0.3">
      <c r="V56" s="76"/>
    </row>
    <row r="57" spans="22:22" x14ac:dyDescent="0.3">
      <c r="V57" s="76"/>
    </row>
    <row r="58" spans="22:22" x14ac:dyDescent="0.3">
      <c r="V58" s="76"/>
    </row>
    <row r="60" spans="22:22" x14ac:dyDescent="0.3">
      <c r="V60" s="76"/>
    </row>
    <row r="62" spans="22:22" x14ac:dyDescent="0.3">
      <c r="V62" s="76"/>
    </row>
    <row r="64" spans="22:22" x14ac:dyDescent="0.3">
      <c r="V64" s="76"/>
    </row>
    <row r="66" spans="22:22" x14ac:dyDescent="0.3">
      <c r="V66" s="76"/>
    </row>
    <row r="68" spans="22:22" x14ac:dyDescent="0.3">
      <c r="V68" s="76"/>
    </row>
    <row r="70" spans="22:22" x14ac:dyDescent="0.3">
      <c r="V70" s="76"/>
    </row>
    <row r="72" spans="22:22" x14ac:dyDescent="0.3">
      <c r="V72" s="76"/>
    </row>
    <row r="73" spans="22:22" x14ac:dyDescent="0.3">
      <c r="V73" s="3">
        <v>76</v>
      </c>
    </row>
    <row r="74" spans="22:22" x14ac:dyDescent="0.3">
      <c r="V74" s="76">
        <v>77</v>
      </c>
    </row>
    <row r="75" spans="22:22" x14ac:dyDescent="0.3">
      <c r="V75" s="3">
        <v>78</v>
      </c>
    </row>
  </sheetData>
  <sheetProtection algorithmName="SHA-512" hashValue="KuI1Vu0zy/UIKQp0KdGkIuV0tu7XD1njFWB+LsWW22U/zLcAzeoAwnzKo9kbJPl/nuCDQGGeVXeNrZ801sTtCg==" saltValue="ZymyXGCnPC53Iobrm7y0eg==" spinCount="100000" sheet="1" objects="1" scenarios="1" insertRows="0" selectLockedCells="1"/>
  <protectedRanges>
    <protectedRange sqref="E15:E17 E11:E13 G15:I17 G11:I13" name="Folha8"/>
  </protectedRanges>
  <mergeCells count="8">
    <mergeCell ref="C14:E14"/>
    <mergeCell ref="C10:E10"/>
    <mergeCell ref="F8:G8"/>
    <mergeCell ref="H7:M7"/>
    <mergeCell ref="C3:E3"/>
    <mergeCell ref="C4:M4"/>
    <mergeCell ref="C5:M5"/>
    <mergeCell ref="J8:K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'15. Valores-Padrão'!$C$46:$C$49</xm:f>
          </x14:formula1>
          <xm:sqref>E11:E13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AW79"/>
  <sheetViews>
    <sheetView showGridLines="0" topLeftCell="A4" zoomScaleNormal="100" workbookViewId="0">
      <selection activeCell="D11" sqref="D11"/>
    </sheetView>
  </sheetViews>
  <sheetFormatPr defaultColWidth="9.109375" defaultRowHeight="14.4" x14ac:dyDescent="0.3"/>
  <cols>
    <col min="1" max="1" width="4.44140625" style="3" customWidth="1"/>
    <col min="2" max="2" width="5.44140625" style="3" customWidth="1"/>
    <col min="3" max="3" width="11.6640625" style="1" customWidth="1"/>
    <col min="4" max="4" width="40.44140625" style="1" customWidth="1"/>
    <col min="5" max="5" width="74" style="3" customWidth="1"/>
    <col min="6" max="9" width="13.5546875" style="3" customWidth="1"/>
    <col min="10" max="10" width="6.5546875" style="3" customWidth="1"/>
    <col min="11" max="15" width="15.6640625" style="3" bestFit="1" customWidth="1"/>
    <col min="16" max="16" width="18" style="3" bestFit="1" customWidth="1"/>
    <col min="17" max="17" width="12.88671875" style="3" customWidth="1"/>
    <col min="18" max="18" width="9.109375" style="3"/>
    <col min="19" max="19" width="11.88671875" style="3" customWidth="1"/>
    <col min="20" max="16384" width="9.109375" style="3"/>
  </cols>
  <sheetData>
    <row r="1" spans="2:31" ht="15.75" thickBot="1" x14ac:dyDescent="0.3"/>
    <row r="2" spans="2:31" ht="15" x14ac:dyDescent="0.25">
      <c r="B2" s="55"/>
      <c r="C2" s="56"/>
      <c r="D2" s="56"/>
      <c r="E2" s="7"/>
      <c r="F2" s="7"/>
      <c r="G2" s="7"/>
      <c r="H2" s="7"/>
      <c r="I2" s="7"/>
      <c r="J2" s="8"/>
    </row>
    <row r="3" spans="2:31" ht="21" x14ac:dyDescent="0.3">
      <c r="B3" s="15"/>
      <c r="C3" s="937" t="s">
        <v>445</v>
      </c>
      <c r="D3" s="937"/>
      <c r="E3" s="937"/>
      <c r="F3" s="11"/>
      <c r="G3" s="11"/>
      <c r="H3" s="11"/>
      <c r="I3" s="11"/>
      <c r="J3" s="12"/>
    </row>
    <row r="4" spans="2:31" ht="50.25" customHeight="1" x14ac:dyDescent="0.25">
      <c r="B4" s="15"/>
      <c r="C4" s="985"/>
      <c r="D4" s="985"/>
      <c r="E4" s="985"/>
      <c r="F4" s="985"/>
      <c r="G4" s="985"/>
      <c r="H4" s="985"/>
      <c r="I4" s="985"/>
      <c r="J4" s="12"/>
      <c r="Z4" s="172"/>
      <c r="AA4" s="172"/>
      <c r="AB4" s="172"/>
      <c r="AC4" s="172"/>
      <c r="AD4" s="172"/>
      <c r="AE4" s="172"/>
    </row>
    <row r="5" spans="2:31" ht="18" x14ac:dyDescent="0.3">
      <c r="B5" s="15"/>
      <c r="C5" s="1124" t="s">
        <v>450</v>
      </c>
      <c r="D5" s="1124"/>
      <c r="E5" s="1124"/>
      <c r="F5" s="1124"/>
      <c r="G5" s="1124"/>
      <c r="H5" s="1124"/>
      <c r="I5" s="1124"/>
      <c r="J5" s="12"/>
      <c r="Z5" s="172"/>
      <c r="AA5" s="172"/>
      <c r="AB5" s="172"/>
      <c r="AC5" s="172"/>
      <c r="AD5" s="172"/>
      <c r="AE5" s="172"/>
    </row>
    <row r="6" spans="2:31" ht="15.75" thickBot="1" x14ac:dyDescent="0.3">
      <c r="B6" s="15"/>
      <c r="C6" s="11"/>
      <c r="D6" s="11"/>
      <c r="E6" s="11"/>
      <c r="F6" s="11"/>
      <c r="G6" s="11"/>
      <c r="H6" s="11"/>
      <c r="I6" s="11"/>
      <c r="J6" s="12"/>
      <c r="Z6" s="172"/>
      <c r="AA6" s="172"/>
      <c r="AB6" s="172"/>
      <c r="AC6" s="172"/>
      <c r="AD6" s="172"/>
      <c r="AE6" s="172"/>
    </row>
    <row r="7" spans="2:31" s="63" customFormat="1" ht="15" x14ac:dyDescent="0.25">
      <c r="B7" s="59"/>
      <c r="C7" s="60"/>
      <c r="D7" s="60"/>
      <c r="E7" s="61"/>
      <c r="F7" s="1126" t="s">
        <v>0</v>
      </c>
      <c r="G7" s="1127"/>
      <c r="H7" s="1127"/>
      <c r="I7" s="1128"/>
      <c r="J7" s="141"/>
      <c r="Z7" s="172"/>
      <c r="AA7" s="172"/>
      <c r="AB7" s="172"/>
      <c r="AC7" s="172"/>
      <c r="AD7" s="172"/>
      <c r="AE7" s="172"/>
    </row>
    <row r="8" spans="2:31" s="76" customFormat="1" ht="51.75" customHeight="1" thickBot="1" x14ac:dyDescent="0.35">
      <c r="B8" s="64"/>
      <c r="C8" s="65"/>
      <c r="D8" s="65"/>
      <c r="E8" s="66"/>
      <c r="F8" s="372" t="s">
        <v>194</v>
      </c>
      <c r="G8" s="373" t="s">
        <v>142</v>
      </c>
      <c r="H8" s="376" t="s">
        <v>339</v>
      </c>
      <c r="I8" s="746" t="s">
        <v>50</v>
      </c>
      <c r="J8" s="62"/>
      <c r="Z8" s="172"/>
      <c r="AA8" s="172"/>
      <c r="AB8" s="172"/>
      <c r="AC8" s="172"/>
      <c r="AD8" s="172"/>
      <c r="AE8" s="172"/>
    </row>
    <row r="9" spans="2:31" s="76" customFormat="1" ht="63" customHeight="1" x14ac:dyDescent="0.3">
      <c r="B9" s="64"/>
      <c r="C9" s="77" t="s">
        <v>448</v>
      </c>
      <c r="D9" s="322" t="s">
        <v>451</v>
      </c>
      <c r="E9" s="374" t="s">
        <v>449</v>
      </c>
      <c r="F9" s="86" t="s">
        <v>116</v>
      </c>
      <c r="G9" s="87" t="s">
        <v>116</v>
      </c>
      <c r="H9" s="87" t="s">
        <v>116</v>
      </c>
      <c r="I9" s="747" t="s">
        <v>116</v>
      </c>
      <c r="J9" s="62"/>
      <c r="Z9" s="172"/>
      <c r="AA9" s="172"/>
      <c r="AB9" s="172"/>
      <c r="AC9" s="172"/>
      <c r="AD9" s="172"/>
      <c r="AE9" s="172"/>
    </row>
    <row r="10" spans="2:31" s="76" customFormat="1" ht="36.75" customHeight="1" x14ac:dyDescent="0.25">
      <c r="B10" s="64"/>
      <c r="C10" s="989"/>
      <c r="D10" s="990"/>
      <c r="E10" s="990"/>
      <c r="F10" s="89"/>
      <c r="G10" s="88"/>
      <c r="H10" s="88"/>
      <c r="I10" s="90"/>
      <c r="J10" s="62"/>
      <c r="Z10" s="172"/>
      <c r="AA10" s="172"/>
      <c r="AB10" s="172"/>
      <c r="AC10" s="172"/>
      <c r="AD10" s="172"/>
      <c r="AE10" s="172"/>
    </row>
    <row r="11" spans="2:31" ht="32.25" customHeight="1" x14ac:dyDescent="0.25">
      <c r="B11" s="15"/>
      <c r="C11" s="91">
        <v>1</v>
      </c>
      <c r="D11" s="701"/>
      <c r="E11" s="706"/>
      <c r="F11" s="640"/>
      <c r="G11" s="630"/>
      <c r="H11" s="707"/>
      <c r="I11" s="744">
        <f>IF(F11="",0,(F11-H11)*(1+(G11/F11)))</f>
        <v>0</v>
      </c>
      <c r="J11" s="12"/>
      <c r="Z11" s="172"/>
      <c r="AA11" s="172"/>
      <c r="AB11" s="172"/>
      <c r="AC11" s="172"/>
      <c r="AD11" s="172"/>
      <c r="AE11" s="172"/>
    </row>
    <row r="12" spans="2:31" ht="32.25" customHeight="1" x14ac:dyDescent="0.25">
      <c r="B12" s="15"/>
      <c r="C12" s="91">
        <v>2</v>
      </c>
      <c r="D12" s="701"/>
      <c r="E12" s="706"/>
      <c r="F12" s="640"/>
      <c r="G12" s="630"/>
      <c r="H12" s="707"/>
      <c r="I12" s="744">
        <f t="shared" ref="I12:I20" si="0">IF(F12="",0,(F12-H12)*(1+(G12/F12)))</f>
        <v>0</v>
      </c>
      <c r="J12" s="12"/>
      <c r="Z12" s="172"/>
      <c r="AA12" s="172"/>
      <c r="AB12" s="172"/>
      <c r="AC12" s="172"/>
      <c r="AD12" s="172"/>
      <c r="AE12" s="172"/>
    </row>
    <row r="13" spans="2:31" ht="32.25" customHeight="1" x14ac:dyDescent="0.25">
      <c r="B13" s="15"/>
      <c r="C13" s="91">
        <v>3</v>
      </c>
      <c r="D13" s="701"/>
      <c r="E13" s="706"/>
      <c r="F13" s="640"/>
      <c r="G13" s="630"/>
      <c r="H13" s="707"/>
      <c r="I13" s="744">
        <f t="shared" si="0"/>
        <v>0</v>
      </c>
      <c r="J13" s="12"/>
      <c r="Z13" s="172"/>
      <c r="AA13" s="172"/>
      <c r="AB13" s="172"/>
      <c r="AC13" s="172"/>
      <c r="AD13" s="172"/>
      <c r="AE13" s="172"/>
    </row>
    <row r="14" spans="2:31" ht="32.25" customHeight="1" x14ac:dyDescent="0.3">
      <c r="B14" s="15"/>
      <c r="C14" s="91">
        <v>4</v>
      </c>
      <c r="D14" s="701"/>
      <c r="E14" s="706"/>
      <c r="F14" s="640"/>
      <c r="G14" s="630"/>
      <c r="H14" s="707"/>
      <c r="I14" s="744">
        <f t="shared" si="0"/>
        <v>0</v>
      </c>
      <c r="J14" s="12"/>
      <c r="Z14" s="172"/>
      <c r="AA14" s="172"/>
      <c r="AB14" s="172"/>
      <c r="AC14" s="172"/>
      <c r="AD14" s="172"/>
      <c r="AE14" s="172"/>
    </row>
    <row r="15" spans="2:31" ht="32.25" customHeight="1" x14ac:dyDescent="0.3">
      <c r="B15" s="15"/>
      <c r="C15" s="91">
        <v>5</v>
      </c>
      <c r="D15" s="701"/>
      <c r="E15" s="706"/>
      <c r="F15" s="640"/>
      <c r="G15" s="630"/>
      <c r="H15" s="707"/>
      <c r="I15" s="744">
        <f t="shared" si="0"/>
        <v>0</v>
      </c>
      <c r="J15" s="12"/>
      <c r="Z15" s="172"/>
      <c r="AA15" s="172"/>
      <c r="AB15" s="172"/>
      <c r="AC15" s="172"/>
      <c r="AD15" s="172"/>
      <c r="AE15" s="172"/>
    </row>
    <row r="16" spans="2:31" ht="32.25" customHeight="1" x14ac:dyDescent="0.3">
      <c r="B16" s="15"/>
      <c r="C16" s="91">
        <v>6</v>
      </c>
      <c r="D16" s="701"/>
      <c r="E16" s="706"/>
      <c r="F16" s="640"/>
      <c r="G16" s="630"/>
      <c r="H16" s="707"/>
      <c r="I16" s="744">
        <f t="shared" si="0"/>
        <v>0</v>
      </c>
      <c r="J16" s="12"/>
      <c r="Z16" s="172"/>
      <c r="AA16" s="172"/>
      <c r="AB16" s="172"/>
      <c r="AC16" s="172"/>
      <c r="AD16" s="172"/>
      <c r="AE16" s="172"/>
    </row>
    <row r="17" spans="2:49" ht="32.25" customHeight="1" x14ac:dyDescent="0.3">
      <c r="B17" s="15"/>
      <c r="C17" s="91">
        <v>7</v>
      </c>
      <c r="D17" s="701"/>
      <c r="E17" s="706"/>
      <c r="F17" s="640"/>
      <c r="G17" s="630"/>
      <c r="H17" s="707"/>
      <c r="I17" s="744">
        <f t="shared" si="0"/>
        <v>0</v>
      </c>
      <c r="J17" s="12"/>
      <c r="Z17" s="172"/>
      <c r="AA17" s="172"/>
      <c r="AB17" s="172"/>
      <c r="AC17" s="172"/>
      <c r="AD17" s="172"/>
      <c r="AE17" s="172"/>
    </row>
    <row r="18" spans="2:49" ht="32.25" customHeight="1" x14ac:dyDescent="0.3">
      <c r="B18" s="15"/>
      <c r="C18" s="91">
        <v>8</v>
      </c>
      <c r="D18" s="701"/>
      <c r="E18" s="706"/>
      <c r="F18" s="708"/>
      <c r="G18" s="630"/>
      <c r="H18" s="709"/>
      <c r="I18" s="744">
        <f t="shared" si="0"/>
        <v>0</v>
      </c>
      <c r="J18" s="12"/>
      <c r="Z18" s="172"/>
      <c r="AA18" s="172"/>
      <c r="AB18" s="172"/>
      <c r="AC18" s="172"/>
      <c r="AD18" s="172"/>
      <c r="AE18" s="172"/>
    </row>
    <row r="19" spans="2:49" ht="32.25" customHeight="1" x14ac:dyDescent="0.3">
      <c r="B19" s="15"/>
      <c r="C19" s="91">
        <v>9</v>
      </c>
      <c r="D19" s="701"/>
      <c r="E19" s="706"/>
      <c r="F19" s="708"/>
      <c r="G19" s="630"/>
      <c r="H19" s="709"/>
      <c r="I19" s="744">
        <f t="shared" si="0"/>
        <v>0</v>
      </c>
      <c r="J19" s="12"/>
      <c r="Z19" s="172"/>
      <c r="AA19" s="172"/>
      <c r="AB19" s="172"/>
      <c r="AC19" s="172"/>
      <c r="AD19" s="172"/>
      <c r="AE19" s="172"/>
    </row>
    <row r="20" spans="2:49" ht="32.25" customHeight="1" thickBot="1" x14ac:dyDescent="0.35">
      <c r="B20" s="15"/>
      <c r="C20" s="97">
        <v>10</v>
      </c>
      <c r="D20" s="702"/>
      <c r="E20" s="710"/>
      <c r="F20" s="711"/>
      <c r="G20" s="649"/>
      <c r="H20" s="712"/>
      <c r="I20" s="745">
        <f t="shared" si="0"/>
        <v>0</v>
      </c>
      <c r="J20" s="12"/>
      <c r="Z20" s="172"/>
      <c r="AA20" s="172"/>
      <c r="AB20" s="172"/>
      <c r="AC20" s="172"/>
      <c r="AD20" s="172"/>
      <c r="AE20" s="172"/>
    </row>
    <row r="21" spans="2:49" ht="15" thickBot="1" x14ac:dyDescent="0.35">
      <c r="B21" s="15"/>
      <c r="C21" s="21"/>
      <c r="D21" s="21"/>
      <c r="E21" s="11"/>
      <c r="F21" s="748">
        <f>SUM(F11:F20)</f>
        <v>0</v>
      </c>
      <c r="G21" s="748">
        <f>SUM(G11:G20)</f>
        <v>0</v>
      </c>
      <c r="H21" s="748">
        <f>SUM(H11:H20)</f>
        <v>0</v>
      </c>
      <c r="I21" s="748">
        <f>SUM(I11:I20)</f>
        <v>0</v>
      </c>
      <c r="J21" s="12"/>
      <c r="AA21" s="4"/>
    </row>
    <row r="22" spans="2:49" ht="15" thickBot="1" x14ac:dyDescent="0.35">
      <c r="B22" s="15"/>
      <c r="C22" s="21"/>
      <c r="D22" s="21"/>
      <c r="E22" s="11"/>
      <c r="F22" s="375"/>
      <c r="G22" s="375"/>
      <c r="H22" s="375"/>
      <c r="I22" s="375"/>
      <c r="J22" s="12"/>
      <c r="AA22" s="4"/>
    </row>
    <row r="23" spans="2:49" s="1" customFormat="1" ht="24.9" customHeight="1" thickBot="1" x14ac:dyDescent="0.35">
      <c r="B23" s="9"/>
      <c r="C23" s="21"/>
      <c r="E23" s="173" t="s">
        <v>446</v>
      </c>
      <c r="F23" s="749">
        <f>+F21+G21</f>
        <v>0</v>
      </c>
      <c r="G23" s="60"/>
      <c r="H23" s="60"/>
      <c r="I23" s="99"/>
      <c r="J23" s="100"/>
      <c r="AA23" s="52"/>
    </row>
    <row r="24" spans="2:49" ht="24.9" customHeight="1" thickBot="1" x14ac:dyDescent="0.35">
      <c r="B24" s="9"/>
      <c r="C24" s="21"/>
      <c r="D24" s="3"/>
      <c r="E24" s="173" t="s">
        <v>447</v>
      </c>
      <c r="F24" s="749">
        <f>I21</f>
        <v>0</v>
      </c>
      <c r="J24" s="100"/>
      <c r="AU24" s="76" t="e">
        <f>#REF!</f>
        <v>#REF!</v>
      </c>
      <c r="AV24" s="76" t="e">
        <f>#REF!</f>
        <v>#REF!</v>
      </c>
      <c r="AW24" s="76" t="e">
        <f>#REF!</f>
        <v>#REF!</v>
      </c>
    </row>
    <row r="25" spans="2:49" ht="24.75" customHeight="1" thickBot="1" x14ac:dyDescent="0.35">
      <c r="B25" s="139"/>
      <c r="C25" s="134"/>
      <c r="D25" s="134"/>
      <c r="E25" s="134"/>
      <c r="F25" s="136"/>
      <c r="G25" s="136"/>
      <c r="H25" s="136"/>
      <c r="I25" s="136"/>
      <c r="J25" s="137"/>
      <c r="K25" s="113"/>
      <c r="L25" s="113"/>
      <c r="M25" s="113"/>
      <c r="N25" s="113"/>
      <c r="O25" s="113"/>
      <c r="P25" s="113"/>
      <c r="R25" s="76"/>
    </row>
    <row r="26" spans="2:49" x14ac:dyDescent="0.3">
      <c r="R26" s="76"/>
    </row>
    <row r="27" spans="2:49" x14ac:dyDescent="0.3">
      <c r="B27" s="338"/>
      <c r="C27" s="339"/>
      <c r="D27" s="339"/>
      <c r="E27" s="338"/>
      <c r="F27" s="338"/>
      <c r="G27" s="338"/>
      <c r="H27" s="338"/>
      <c r="I27" s="338"/>
      <c r="J27" s="338"/>
      <c r="R27" s="76"/>
    </row>
    <row r="28" spans="2:49" x14ac:dyDescent="0.3">
      <c r="B28" s="338"/>
      <c r="C28" s="339"/>
      <c r="D28" s="339"/>
      <c r="E28" s="338"/>
      <c r="F28" s="338"/>
      <c r="G28" s="338"/>
      <c r="H28" s="338"/>
      <c r="I28" s="338"/>
      <c r="J28" s="338"/>
      <c r="R28" s="76"/>
    </row>
    <row r="29" spans="2:49" x14ac:dyDescent="0.3">
      <c r="B29" s="338"/>
      <c r="C29" s="339"/>
      <c r="D29" s="341"/>
      <c r="E29" s="13"/>
      <c r="F29" s="13"/>
      <c r="G29" s="338"/>
      <c r="H29" s="338"/>
      <c r="I29" s="338"/>
      <c r="J29" s="338"/>
      <c r="R29" s="76"/>
    </row>
    <row r="30" spans="2:49" x14ac:dyDescent="0.3">
      <c r="B30" s="338"/>
      <c r="C30" s="339"/>
      <c r="D30" s="341"/>
      <c r="E30" s="319">
        <f>+C11</f>
        <v>1</v>
      </c>
      <c r="F30" s="13"/>
      <c r="G30" s="338"/>
      <c r="H30" s="338"/>
      <c r="I30" s="338"/>
      <c r="J30" s="338"/>
      <c r="R30" s="76"/>
    </row>
    <row r="31" spans="2:49" x14ac:dyDescent="0.3">
      <c r="B31" s="338"/>
      <c r="C31" s="339"/>
      <c r="D31" s="341"/>
      <c r="E31" s="319">
        <f>+C17</f>
        <v>7</v>
      </c>
      <c r="F31" s="13"/>
      <c r="G31" s="338"/>
      <c r="H31" s="338"/>
      <c r="I31" s="338"/>
      <c r="J31" s="338"/>
      <c r="R31" s="76"/>
    </row>
    <row r="32" spans="2:49" x14ac:dyDescent="0.3">
      <c r="B32" s="338"/>
      <c r="C32" s="339"/>
      <c r="D32" s="339"/>
      <c r="E32" s="340"/>
      <c r="F32" s="338"/>
      <c r="G32" s="338"/>
      <c r="H32" s="338"/>
      <c r="I32" s="338"/>
      <c r="J32" s="338"/>
      <c r="R32" s="76"/>
    </row>
    <row r="33" spans="2:18" x14ac:dyDescent="0.3">
      <c r="B33" s="338"/>
      <c r="C33" s="339"/>
      <c r="D33" s="339"/>
      <c r="E33" s="340"/>
      <c r="F33" s="338"/>
      <c r="G33" s="338"/>
      <c r="H33" s="338"/>
      <c r="I33" s="338"/>
      <c r="J33" s="338"/>
      <c r="R33" s="76"/>
    </row>
    <row r="34" spans="2:18" x14ac:dyDescent="0.3">
      <c r="B34" s="338"/>
      <c r="C34" s="339"/>
      <c r="D34" s="339"/>
      <c r="E34" s="340"/>
      <c r="F34" s="338"/>
      <c r="G34" s="338"/>
      <c r="H34" s="338"/>
      <c r="I34" s="338"/>
      <c r="J34" s="338"/>
      <c r="R34" s="76"/>
    </row>
    <row r="35" spans="2:18" x14ac:dyDescent="0.3">
      <c r="B35" s="338"/>
      <c r="C35" s="339"/>
      <c r="D35" s="339"/>
      <c r="E35" s="338"/>
      <c r="F35" s="338"/>
      <c r="G35" s="338"/>
      <c r="H35" s="338"/>
      <c r="I35" s="338"/>
      <c r="J35" s="338"/>
      <c r="R35" s="76"/>
    </row>
    <row r="36" spans="2:18" x14ac:dyDescent="0.3">
      <c r="B36" s="338"/>
      <c r="C36" s="339"/>
      <c r="D36" s="339"/>
      <c r="E36" s="338"/>
      <c r="F36" s="338"/>
      <c r="G36" s="338"/>
      <c r="H36" s="338"/>
      <c r="I36" s="338"/>
      <c r="J36" s="338"/>
      <c r="R36" s="76"/>
    </row>
    <row r="37" spans="2:18" x14ac:dyDescent="0.3">
      <c r="B37" s="338"/>
      <c r="C37" s="339"/>
      <c r="D37" s="339"/>
      <c r="E37" s="338"/>
      <c r="F37" s="338"/>
      <c r="G37" s="338"/>
      <c r="H37" s="338"/>
      <c r="I37" s="338"/>
      <c r="J37" s="338"/>
      <c r="R37" s="76"/>
    </row>
    <row r="38" spans="2:18" x14ac:dyDescent="0.3">
      <c r="B38" s="338"/>
      <c r="C38" s="339"/>
      <c r="D38" s="339"/>
      <c r="E38" s="338"/>
      <c r="F38" s="338"/>
      <c r="G38" s="338"/>
      <c r="H38" s="338"/>
      <c r="I38" s="338"/>
      <c r="J38" s="338"/>
      <c r="R38" s="76"/>
    </row>
    <row r="39" spans="2:18" x14ac:dyDescent="0.3">
      <c r="B39" s="338"/>
      <c r="C39" s="339"/>
      <c r="D39" s="339"/>
      <c r="E39" s="338"/>
      <c r="F39" s="338"/>
      <c r="G39" s="338"/>
      <c r="H39" s="338"/>
      <c r="I39" s="338"/>
      <c r="J39" s="338"/>
      <c r="R39" s="76"/>
    </row>
    <row r="40" spans="2:18" x14ac:dyDescent="0.3">
      <c r="B40" s="338"/>
      <c r="C40" s="339"/>
      <c r="D40" s="339"/>
      <c r="E40" s="338"/>
      <c r="F40" s="338"/>
      <c r="G40" s="338"/>
      <c r="H40" s="338"/>
      <c r="I40" s="338"/>
      <c r="J40" s="338"/>
      <c r="R40" s="76"/>
    </row>
    <row r="41" spans="2:18" x14ac:dyDescent="0.3">
      <c r="R41" s="76"/>
    </row>
    <row r="42" spans="2:18" x14ac:dyDescent="0.3">
      <c r="R42" s="76"/>
    </row>
    <row r="43" spans="2:18" x14ac:dyDescent="0.3">
      <c r="R43" s="76"/>
    </row>
    <row r="44" spans="2:18" x14ac:dyDescent="0.3">
      <c r="R44" s="76"/>
    </row>
    <row r="45" spans="2:18" x14ac:dyDescent="0.3">
      <c r="R45" s="76"/>
    </row>
    <row r="46" spans="2:18" x14ac:dyDescent="0.3">
      <c r="R46" s="76"/>
    </row>
    <row r="47" spans="2:18" x14ac:dyDescent="0.3">
      <c r="R47" s="76"/>
    </row>
    <row r="48" spans="2:18" x14ac:dyDescent="0.3">
      <c r="R48" s="76"/>
    </row>
    <row r="49" spans="18:18" x14ac:dyDescent="0.3">
      <c r="R49" s="76"/>
    </row>
    <row r="50" spans="18:18" x14ac:dyDescent="0.3">
      <c r="R50" s="76"/>
    </row>
    <row r="51" spans="18:18" x14ac:dyDescent="0.3">
      <c r="R51" s="76"/>
    </row>
    <row r="52" spans="18:18" x14ac:dyDescent="0.3">
      <c r="R52" s="76"/>
    </row>
    <row r="53" spans="18:18" x14ac:dyDescent="0.3">
      <c r="R53" s="76"/>
    </row>
    <row r="54" spans="18:18" x14ac:dyDescent="0.3">
      <c r="R54" s="76"/>
    </row>
    <row r="55" spans="18:18" x14ac:dyDescent="0.3">
      <c r="R55" s="76"/>
    </row>
    <row r="56" spans="18:18" x14ac:dyDescent="0.3">
      <c r="R56" s="76"/>
    </row>
    <row r="57" spans="18:18" x14ac:dyDescent="0.3">
      <c r="R57" s="76"/>
    </row>
    <row r="58" spans="18:18" x14ac:dyDescent="0.3">
      <c r="R58" s="76"/>
    </row>
    <row r="59" spans="18:18" x14ac:dyDescent="0.3">
      <c r="R59" s="76"/>
    </row>
    <row r="60" spans="18:18" x14ac:dyDescent="0.3">
      <c r="R60" s="76"/>
    </row>
    <row r="61" spans="18:18" x14ac:dyDescent="0.3">
      <c r="R61" s="76"/>
    </row>
    <row r="62" spans="18:18" x14ac:dyDescent="0.3">
      <c r="R62" s="76"/>
    </row>
    <row r="64" spans="18:18" x14ac:dyDescent="0.3">
      <c r="R64" s="76"/>
    </row>
    <row r="66" spans="18:18" x14ac:dyDescent="0.3">
      <c r="R66" s="76"/>
    </row>
    <row r="68" spans="18:18" x14ac:dyDescent="0.3">
      <c r="R68" s="76"/>
    </row>
    <row r="70" spans="18:18" x14ac:dyDescent="0.3">
      <c r="R70" s="76"/>
    </row>
    <row r="72" spans="18:18" x14ac:dyDescent="0.3">
      <c r="R72" s="76"/>
    </row>
    <row r="74" spans="18:18" x14ac:dyDescent="0.3">
      <c r="R74" s="76"/>
    </row>
    <row r="76" spans="18:18" x14ac:dyDescent="0.3">
      <c r="R76" s="76"/>
    </row>
    <row r="77" spans="18:18" x14ac:dyDescent="0.3">
      <c r="R77" s="3">
        <v>76</v>
      </c>
    </row>
    <row r="78" spans="18:18" x14ac:dyDescent="0.3">
      <c r="R78" s="76">
        <v>77</v>
      </c>
    </row>
    <row r="79" spans="18:18" x14ac:dyDescent="0.3">
      <c r="R79" s="3">
        <v>78</v>
      </c>
    </row>
  </sheetData>
  <sheetProtection algorithmName="SHA-512" hashValue="xgJySLawB3aNXl6hPGJbwAO2UIY1dC0JqqONbRqA8ZrvHkY9vj9aUrhg7mTMC8f1RruIinnjNb2ne9W8r2gSqQ==" saltValue="YIWOsQYDaHg24tycOawuhQ==" spinCount="100000" sheet="1" objects="1" scenarios="1" insertRows="0" selectLockedCells="1"/>
  <protectedRanges>
    <protectedRange sqref="E11:G20" name="Folha8"/>
  </protectedRanges>
  <mergeCells count="5">
    <mergeCell ref="C10:E10"/>
    <mergeCell ref="C3:E3"/>
    <mergeCell ref="C4:I4"/>
    <mergeCell ref="C5:I5"/>
    <mergeCell ref="F7:I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/>
  <dimension ref="B1:AD80"/>
  <sheetViews>
    <sheetView showGridLines="0" topLeftCell="A52" zoomScaleNormal="100" workbookViewId="0">
      <selection activeCell="E57" sqref="E57"/>
    </sheetView>
  </sheetViews>
  <sheetFormatPr defaultColWidth="9.109375" defaultRowHeight="14.4" x14ac:dyDescent="0.3"/>
  <cols>
    <col min="1" max="1" width="9.109375" style="174"/>
    <col min="2" max="2" width="6.6640625" style="174" customWidth="1"/>
    <col min="3" max="3" width="32.6640625" style="174" customWidth="1"/>
    <col min="4" max="4" width="18.6640625" style="174" customWidth="1"/>
    <col min="5" max="5" width="18.5546875" style="174" customWidth="1"/>
    <col min="6" max="6" width="18.6640625" style="174" customWidth="1"/>
    <col min="7" max="7" width="18.5546875" style="174" customWidth="1"/>
    <col min="8" max="28" width="13.6640625" style="174" customWidth="1"/>
    <col min="29" max="29" width="16.88671875" style="174" customWidth="1"/>
    <col min="30" max="30" width="14" style="174" customWidth="1"/>
    <col min="31" max="16384" width="9.109375" style="174"/>
  </cols>
  <sheetData>
    <row r="1" spans="2:30" ht="15.75" thickBot="1" x14ac:dyDescent="0.3"/>
    <row r="2" spans="2:30" ht="20.25" customHeight="1" thickBot="1" x14ac:dyDescent="0.35">
      <c r="D2" s="1146" t="s">
        <v>156</v>
      </c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7"/>
      <c r="Z2" s="1147"/>
      <c r="AA2" s="1147"/>
      <c r="AB2" s="1147"/>
      <c r="AC2" s="1148"/>
    </row>
    <row r="3" spans="2:30" s="143" customFormat="1" ht="19.5" customHeight="1" thickBot="1" x14ac:dyDescent="0.3">
      <c r="C3" s="174"/>
      <c r="D3" s="101" t="s">
        <v>25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29"/>
    </row>
    <row r="4" spans="2:30" ht="15" thickBot="1" x14ac:dyDescent="0.35">
      <c r="B4" s="103"/>
      <c r="C4" s="175" t="s">
        <v>167</v>
      </c>
      <c r="D4" s="176">
        <v>1</v>
      </c>
      <c r="E4" s="176">
        <v>2</v>
      </c>
      <c r="F4" s="176">
        <v>3</v>
      </c>
      <c r="G4" s="176">
        <v>4</v>
      </c>
      <c r="H4" s="176">
        <v>5</v>
      </c>
      <c r="I4" s="176">
        <v>6</v>
      </c>
      <c r="J4" s="176">
        <v>7</v>
      </c>
      <c r="K4" s="176">
        <v>8</v>
      </c>
      <c r="L4" s="176">
        <v>9</v>
      </c>
      <c r="M4" s="176">
        <v>10</v>
      </c>
      <c r="N4" s="176">
        <v>11</v>
      </c>
      <c r="O4" s="176">
        <v>12</v>
      </c>
      <c r="P4" s="176">
        <v>13</v>
      </c>
      <c r="Q4" s="176">
        <v>14</v>
      </c>
      <c r="R4" s="176">
        <v>15</v>
      </c>
      <c r="S4" s="176">
        <v>16</v>
      </c>
      <c r="T4" s="176">
        <v>17</v>
      </c>
      <c r="U4" s="176">
        <v>18</v>
      </c>
      <c r="V4" s="176">
        <v>19</v>
      </c>
      <c r="W4" s="176">
        <v>20</v>
      </c>
      <c r="X4" s="176">
        <v>21</v>
      </c>
      <c r="Y4" s="176">
        <v>22</v>
      </c>
      <c r="Z4" s="176">
        <v>23</v>
      </c>
      <c r="AA4" s="176">
        <v>24</v>
      </c>
      <c r="AB4" s="176">
        <v>25</v>
      </c>
      <c r="AC4" s="176" t="s">
        <v>53</v>
      </c>
      <c r="AD4" s="1132" t="s">
        <v>155</v>
      </c>
    </row>
    <row r="5" spans="2:30" s="184" customFormat="1" ht="15" customHeight="1" thickBot="1" x14ac:dyDescent="0.35">
      <c r="B5" s="177"/>
      <c r="C5" s="118"/>
      <c r="D5" s="178"/>
      <c r="E5" s="179"/>
      <c r="F5" s="179"/>
      <c r="G5" s="179"/>
      <c r="H5" s="179"/>
      <c r="I5" s="179"/>
      <c r="J5" s="179"/>
      <c r="K5" s="179"/>
      <c r="L5" s="180"/>
      <c r="M5" s="181"/>
      <c r="N5" s="178"/>
      <c r="O5" s="179"/>
      <c r="P5" s="179"/>
      <c r="Q5" s="179"/>
      <c r="R5" s="179"/>
      <c r="S5" s="179"/>
      <c r="T5" s="179"/>
      <c r="U5" s="179"/>
      <c r="V5" s="180"/>
      <c r="W5" s="181"/>
      <c r="X5" s="181"/>
      <c r="Y5" s="181"/>
      <c r="Z5" s="181"/>
      <c r="AA5" s="181"/>
      <c r="AB5" s="182"/>
      <c r="AC5" s="183"/>
      <c r="AD5" s="1132"/>
    </row>
    <row r="6" spans="2:30" ht="15.75" thickBot="1" x14ac:dyDescent="0.3">
      <c r="B6" s="177"/>
      <c r="C6" s="185" t="s">
        <v>70</v>
      </c>
      <c r="D6" s="186">
        <f>'2. Medidas a).i)'!I37</f>
        <v>0</v>
      </c>
      <c r="E6" s="186">
        <f>'2. Medidas a).i)'!J37</f>
        <v>0</v>
      </c>
      <c r="F6" s="186">
        <f>'2. Medidas a).i)'!K37</f>
        <v>0</v>
      </c>
      <c r="G6" s="186">
        <f>'2. Medidas a).i)'!L37</f>
        <v>0</v>
      </c>
      <c r="H6" s="186">
        <f>'2. Medidas a).i)'!M37</f>
        <v>0</v>
      </c>
      <c r="I6" s="186">
        <f>'2. Medidas a).i)'!N37</f>
        <v>0</v>
      </c>
      <c r="J6" s="186">
        <f>'2. Medidas a).i)'!O37</f>
        <v>0</v>
      </c>
      <c r="K6" s="186">
        <f>'2. Medidas a).i)'!P37</f>
        <v>0</v>
      </c>
      <c r="L6" s="186">
        <f>'2. Medidas a).i)'!Q37</f>
        <v>0</v>
      </c>
      <c r="M6" s="186">
        <f>'2. Medidas a).i)'!R37</f>
        <v>0</v>
      </c>
      <c r="N6" s="186">
        <f>'2. Medidas a).i)'!S37</f>
        <v>0</v>
      </c>
      <c r="O6" s="186">
        <f>'2. Medidas a).i)'!T37</f>
        <v>0</v>
      </c>
      <c r="P6" s="186">
        <f>'2. Medidas a).i)'!U37</f>
        <v>0</v>
      </c>
      <c r="Q6" s="186">
        <f>'2. Medidas a).i)'!V37</f>
        <v>0</v>
      </c>
      <c r="R6" s="186">
        <f>'2. Medidas a).i)'!W37</f>
        <v>0</v>
      </c>
      <c r="S6" s="186">
        <f>'2. Medidas a).i)'!X37</f>
        <v>0</v>
      </c>
      <c r="T6" s="186">
        <f>'2. Medidas a).i)'!Y37</f>
        <v>0</v>
      </c>
      <c r="U6" s="186">
        <f>'2. Medidas a).i)'!Z37</f>
        <v>0</v>
      </c>
      <c r="V6" s="186">
        <f>'2. Medidas a).i)'!AA37</f>
        <v>0</v>
      </c>
      <c r="W6" s="186">
        <f>'2. Medidas a).i)'!AB37</f>
        <v>0</v>
      </c>
      <c r="X6" s="186">
        <f>'2. Medidas a).i)'!AC37</f>
        <v>0</v>
      </c>
      <c r="Y6" s="186">
        <f>'2. Medidas a).i)'!AD37</f>
        <v>0</v>
      </c>
      <c r="Z6" s="186">
        <f>'2. Medidas a).i)'!AE37</f>
        <v>0</v>
      </c>
      <c r="AA6" s="186">
        <f>'2. Medidas a).i)'!AF37</f>
        <v>0</v>
      </c>
      <c r="AB6" s="186">
        <f>'2. Medidas a).i)'!AG37</f>
        <v>0</v>
      </c>
      <c r="AC6" s="187">
        <f t="shared" ref="AC6:AC14" si="0">SUM(D6:AB6)</f>
        <v>0</v>
      </c>
      <c r="AD6" s="188">
        <f>COUNTIF(D6:AB6,"&lt;&gt;0")</f>
        <v>0</v>
      </c>
    </row>
    <row r="7" spans="2:30" ht="15.75" thickBot="1" x14ac:dyDescent="0.3">
      <c r="B7" s="177"/>
      <c r="C7" s="185" t="s">
        <v>71</v>
      </c>
      <c r="D7" s="189">
        <f>'3. Medidas a).ii)'!I39</f>
        <v>0</v>
      </c>
      <c r="E7" s="189">
        <f>'3. Medidas a).ii)'!J39</f>
        <v>0</v>
      </c>
      <c r="F7" s="189">
        <f>'3. Medidas a).ii)'!K39</f>
        <v>0</v>
      </c>
      <c r="G7" s="189">
        <f>'3. Medidas a).ii)'!L39</f>
        <v>0</v>
      </c>
      <c r="H7" s="189">
        <f>'3. Medidas a).ii)'!M39</f>
        <v>0</v>
      </c>
      <c r="I7" s="189">
        <f>'3. Medidas a).ii)'!N39</f>
        <v>0</v>
      </c>
      <c r="J7" s="189">
        <f>'3. Medidas a).ii)'!O39</f>
        <v>0</v>
      </c>
      <c r="K7" s="189">
        <f>'3. Medidas a).ii)'!P39</f>
        <v>0</v>
      </c>
      <c r="L7" s="189">
        <f>'3. Medidas a).ii)'!Q39</f>
        <v>0</v>
      </c>
      <c r="M7" s="189">
        <f>'3. Medidas a).ii)'!R39</f>
        <v>0</v>
      </c>
      <c r="N7" s="189">
        <f>'3. Medidas a).ii)'!S39</f>
        <v>0</v>
      </c>
      <c r="O7" s="189">
        <f>'3. Medidas a).ii)'!T39</f>
        <v>0</v>
      </c>
      <c r="P7" s="189">
        <f>'3. Medidas a).ii)'!U39</f>
        <v>0</v>
      </c>
      <c r="Q7" s="189">
        <f>'3. Medidas a).ii)'!V39</f>
        <v>0</v>
      </c>
      <c r="R7" s="189">
        <f>'3. Medidas a).ii)'!W39</f>
        <v>0</v>
      </c>
      <c r="S7" s="189">
        <f>'3. Medidas a).ii)'!X39</f>
        <v>0</v>
      </c>
      <c r="T7" s="189">
        <f>'3. Medidas a).ii)'!Y39</f>
        <v>0</v>
      </c>
      <c r="U7" s="189">
        <f>'3. Medidas a).ii)'!Z39</f>
        <v>0</v>
      </c>
      <c r="V7" s="189">
        <f>'3. Medidas a).ii)'!AA39</f>
        <v>0</v>
      </c>
      <c r="W7" s="189">
        <f>'3. Medidas a).ii)'!AB39</f>
        <v>0</v>
      </c>
      <c r="X7" s="189">
        <f>'3. Medidas a).ii)'!AC39</f>
        <v>0</v>
      </c>
      <c r="Y7" s="189">
        <f>'3. Medidas a).ii)'!AD39</f>
        <v>0</v>
      </c>
      <c r="Z7" s="189">
        <f>'3. Medidas a).ii)'!AE39</f>
        <v>0</v>
      </c>
      <c r="AA7" s="189">
        <f>'3. Medidas a).ii)'!AF39</f>
        <v>0</v>
      </c>
      <c r="AB7" s="189">
        <f>'3. Medidas a).ii)'!AG39</f>
        <v>0</v>
      </c>
      <c r="AC7" s="187">
        <f t="shared" si="0"/>
        <v>0</v>
      </c>
      <c r="AD7" s="188">
        <f t="shared" ref="AD7:AD13" si="1">COUNTIF(D7:AB7,"&lt;&gt;0")</f>
        <v>0</v>
      </c>
    </row>
    <row r="8" spans="2:30" ht="15.75" thickBot="1" x14ac:dyDescent="0.3">
      <c r="B8" s="177"/>
      <c r="C8" s="185" t="s">
        <v>325</v>
      </c>
      <c r="D8" s="186">
        <f>'4. Medidas a).iii) Sistemas'!I38</f>
        <v>0</v>
      </c>
      <c r="E8" s="186">
        <f>'4. Medidas a).iii) Sistemas'!J38</f>
        <v>0</v>
      </c>
      <c r="F8" s="186">
        <f>'4. Medidas a).iii) Sistemas'!K38</f>
        <v>0</v>
      </c>
      <c r="G8" s="186">
        <f>'4. Medidas a).iii) Sistemas'!L38</f>
        <v>0</v>
      </c>
      <c r="H8" s="186">
        <f>'4. Medidas a).iii) Sistemas'!M38</f>
        <v>0</v>
      </c>
      <c r="I8" s="186">
        <f>'4. Medidas a).iii) Sistemas'!N38</f>
        <v>0</v>
      </c>
      <c r="J8" s="186">
        <f>'4. Medidas a).iii) Sistemas'!O38</f>
        <v>0</v>
      </c>
      <c r="K8" s="186">
        <f>'4. Medidas a).iii) Sistemas'!P38</f>
        <v>0</v>
      </c>
      <c r="L8" s="186">
        <f>'4. Medidas a).iii) Sistemas'!Q38</f>
        <v>0</v>
      </c>
      <c r="M8" s="186">
        <f>'4. Medidas a).iii) Sistemas'!R38</f>
        <v>0</v>
      </c>
      <c r="N8" s="186">
        <f>'4. Medidas a).iii) Sistemas'!S38</f>
        <v>0</v>
      </c>
      <c r="O8" s="186">
        <f>'4. Medidas a).iii) Sistemas'!T38</f>
        <v>0</v>
      </c>
      <c r="P8" s="186">
        <f>'4. Medidas a).iii) Sistemas'!U38</f>
        <v>0</v>
      </c>
      <c r="Q8" s="186">
        <f>'4. Medidas a).iii) Sistemas'!V38</f>
        <v>0</v>
      </c>
      <c r="R8" s="186">
        <f>'4. Medidas a).iii) Sistemas'!W38</f>
        <v>0</v>
      </c>
      <c r="S8" s="186">
        <f>'4. Medidas a).iii) Sistemas'!X38</f>
        <v>0</v>
      </c>
      <c r="T8" s="186">
        <f>'4. Medidas a).iii) Sistemas'!Y38</f>
        <v>0</v>
      </c>
      <c r="U8" s="186">
        <f>'4. Medidas a).iii) Sistemas'!Z38</f>
        <v>0</v>
      </c>
      <c r="V8" s="186">
        <f>'4. Medidas a).iii) Sistemas'!AA38</f>
        <v>0</v>
      </c>
      <c r="W8" s="186">
        <f>'4. Medidas a).iii) Sistemas'!AB38</f>
        <v>0</v>
      </c>
      <c r="X8" s="186">
        <f>'4. Medidas a).iii) Sistemas'!AC38</f>
        <v>0</v>
      </c>
      <c r="Y8" s="186">
        <f>'4. Medidas a).iii) Sistemas'!AD38</f>
        <v>0</v>
      </c>
      <c r="Z8" s="186">
        <f>'4. Medidas a).iii) Sistemas'!AE38</f>
        <v>0</v>
      </c>
      <c r="AA8" s="186">
        <f>'4. Medidas a).iii) Sistemas'!AF38</f>
        <v>0</v>
      </c>
      <c r="AB8" s="186">
        <f>'4. Medidas a).iii) Sistemas'!AG38</f>
        <v>0</v>
      </c>
      <c r="AC8" s="187">
        <f t="shared" si="0"/>
        <v>0</v>
      </c>
      <c r="AD8" s="188">
        <f t="shared" si="1"/>
        <v>0</v>
      </c>
    </row>
    <row r="9" spans="2:30" ht="15" thickBot="1" x14ac:dyDescent="0.35">
      <c r="B9" s="177"/>
      <c r="C9" s="185" t="s">
        <v>326</v>
      </c>
      <c r="D9" s="186">
        <f>'5. Medidas a).iii) Iluminação'!I39</f>
        <v>0</v>
      </c>
      <c r="E9" s="186">
        <f>'5. Medidas a).iii) Iluminação'!J39</f>
        <v>0</v>
      </c>
      <c r="F9" s="186">
        <f>'5. Medidas a).iii) Iluminação'!K39</f>
        <v>0</v>
      </c>
      <c r="G9" s="186">
        <f>'5. Medidas a).iii) Iluminação'!L39</f>
        <v>0</v>
      </c>
      <c r="H9" s="186">
        <f>'5. Medidas a).iii) Iluminação'!M39</f>
        <v>0</v>
      </c>
      <c r="I9" s="186">
        <f>'5. Medidas a).iii) Iluminação'!N39</f>
        <v>0</v>
      </c>
      <c r="J9" s="186">
        <f>'5. Medidas a).iii) Iluminação'!O39</f>
        <v>0</v>
      </c>
      <c r="K9" s="186">
        <f>'5. Medidas a).iii) Iluminação'!P39</f>
        <v>0</v>
      </c>
      <c r="L9" s="186">
        <f>'5. Medidas a).iii) Iluminação'!Q39</f>
        <v>0</v>
      </c>
      <c r="M9" s="186">
        <f>'5. Medidas a).iii) Iluminação'!R39</f>
        <v>0</v>
      </c>
      <c r="N9" s="186">
        <f>'5. Medidas a).iii) Iluminação'!S39</f>
        <v>0</v>
      </c>
      <c r="O9" s="186">
        <f>'5. Medidas a).iii) Iluminação'!T39</f>
        <v>0</v>
      </c>
      <c r="P9" s="186">
        <f>'5. Medidas a).iii) Iluminação'!U39</f>
        <v>0</v>
      </c>
      <c r="Q9" s="186">
        <f>'5. Medidas a).iii) Iluminação'!V39</f>
        <v>0</v>
      </c>
      <c r="R9" s="186">
        <f>'5. Medidas a).iii) Iluminação'!W39</f>
        <v>0</v>
      </c>
      <c r="S9" s="186">
        <f>'5. Medidas a).iii) Iluminação'!X39</f>
        <v>0</v>
      </c>
      <c r="T9" s="186">
        <f>'5. Medidas a).iii) Iluminação'!Y39</f>
        <v>0</v>
      </c>
      <c r="U9" s="186">
        <f>'5. Medidas a).iii) Iluminação'!Z39</f>
        <v>0</v>
      </c>
      <c r="V9" s="186">
        <f>'5. Medidas a).iii) Iluminação'!AA39</f>
        <v>0</v>
      </c>
      <c r="W9" s="186">
        <f>'5. Medidas a).iii) Iluminação'!AB39</f>
        <v>0</v>
      </c>
      <c r="X9" s="186">
        <f>'5. Medidas a).iii) Iluminação'!AC39</f>
        <v>0</v>
      </c>
      <c r="Y9" s="186">
        <f>'5. Medidas a).iii) Iluminação'!AD39</f>
        <v>0</v>
      </c>
      <c r="Z9" s="186">
        <f>'5. Medidas a).iii) Iluminação'!AE39</f>
        <v>0</v>
      </c>
      <c r="AA9" s="186">
        <f>'5. Medidas a).iii) Iluminação'!AF39</f>
        <v>0</v>
      </c>
      <c r="AB9" s="186">
        <f>'5. Medidas a).iii) Iluminação'!AG39</f>
        <v>0</v>
      </c>
      <c r="AC9" s="187">
        <f t="shared" si="0"/>
        <v>0</v>
      </c>
      <c r="AD9" s="188">
        <f t="shared" si="1"/>
        <v>0</v>
      </c>
    </row>
    <row r="10" spans="2:30" ht="15.75" thickBot="1" x14ac:dyDescent="0.3">
      <c r="B10" s="177"/>
      <c r="C10" s="185" t="s">
        <v>72</v>
      </c>
      <c r="D10" s="186">
        <f>'6. Medidas a).iv)'!I39</f>
        <v>0</v>
      </c>
      <c r="E10" s="186">
        <f>'6. Medidas a).iv)'!J39</f>
        <v>0</v>
      </c>
      <c r="F10" s="186">
        <f>'6. Medidas a).iv)'!K39</f>
        <v>0</v>
      </c>
      <c r="G10" s="186">
        <f>'6. Medidas a).iv)'!L39</f>
        <v>0</v>
      </c>
      <c r="H10" s="186">
        <f>'6. Medidas a).iv)'!M39</f>
        <v>0</v>
      </c>
      <c r="I10" s="186">
        <f>'6. Medidas a).iv)'!N39</f>
        <v>0</v>
      </c>
      <c r="J10" s="186">
        <f>'6. Medidas a).iv)'!O39</f>
        <v>0</v>
      </c>
      <c r="K10" s="186">
        <f>'6. Medidas a).iv)'!P39</f>
        <v>0</v>
      </c>
      <c r="L10" s="186">
        <f>'6. Medidas a).iv)'!Q39</f>
        <v>0</v>
      </c>
      <c r="M10" s="186">
        <f>'6. Medidas a).iv)'!R39</f>
        <v>0</v>
      </c>
      <c r="N10" s="186">
        <f>'6. Medidas a).iv)'!S39</f>
        <v>0</v>
      </c>
      <c r="O10" s="186">
        <f>'6. Medidas a).iv)'!T39</f>
        <v>0</v>
      </c>
      <c r="P10" s="186">
        <f>'6. Medidas a).iv)'!U39</f>
        <v>0</v>
      </c>
      <c r="Q10" s="186">
        <f>'6. Medidas a).iv)'!V39</f>
        <v>0</v>
      </c>
      <c r="R10" s="186">
        <f>'6. Medidas a).iv)'!W39</f>
        <v>0</v>
      </c>
      <c r="S10" s="186">
        <f>'6. Medidas a).iv)'!X39</f>
        <v>0</v>
      </c>
      <c r="T10" s="186">
        <f>'6. Medidas a).iv)'!Y39</f>
        <v>0</v>
      </c>
      <c r="U10" s="186">
        <f>'6. Medidas a).iv)'!Z39</f>
        <v>0</v>
      </c>
      <c r="V10" s="186">
        <f>'6. Medidas a).iv)'!AA39</f>
        <v>0</v>
      </c>
      <c r="W10" s="186">
        <f>'6. Medidas a).iv)'!AB39</f>
        <v>0</v>
      </c>
      <c r="X10" s="186">
        <f>'6. Medidas a).iv)'!AC39</f>
        <v>0</v>
      </c>
      <c r="Y10" s="186">
        <f>'6. Medidas a).iv)'!AD39</f>
        <v>0</v>
      </c>
      <c r="Z10" s="186">
        <f>'6. Medidas a).iv)'!AE39</f>
        <v>0</v>
      </c>
      <c r="AA10" s="186">
        <f>'6. Medidas a).iv)'!AF39</f>
        <v>0</v>
      </c>
      <c r="AB10" s="186">
        <f>'6. Medidas a).iv)'!AG39</f>
        <v>0</v>
      </c>
      <c r="AC10" s="187">
        <f t="shared" si="0"/>
        <v>0</v>
      </c>
      <c r="AD10" s="188">
        <f t="shared" si="1"/>
        <v>0</v>
      </c>
    </row>
    <row r="11" spans="2:30" ht="15.75" thickBot="1" x14ac:dyDescent="0.3">
      <c r="B11" s="177"/>
      <c r="C11" s="185" t="s">
        <v>136</v>
      </c>
      <c r="D11" s="114">
        <f>'7. Medidas b).i)'!J39</f>
        <v>0</v>
      </c>
      <c r="E11" s="114">
        <f>'7. Medidas b).i)'!K39</f>
        <v>0</v>
      </c>
      <c r="F11" s="114">
        <f>'7. Medidas b).i)'!L39</f>
        <v>0</v>
      </c>
      <c r="G11" s="114">
        <f>'7. Medidas b).i)'!M39</f>
        <v>0</v>
      </c>
      <c r="H11" s="114">
        <f>'7. Medidas b).i)'!N39</f>
        <v>0</v>
      </c>
      <c r="I11" s="114">
        <f>'7. Medidas b).i)'!O39</f>
        <v>0</v>
      </c>
      <c r="J11" s="114">
        <f>'7. Medidas b).i)'!P39</f>
        <v>0</v>
      </c>
      <c r="K11" s="114">
        <f>'7. Medidas b).i)'!Q39</f>
        <v>0</v>
      </c>
      <c r="L11" s="114">
        <f>'7. Medidas b).i)'!R39</f>
        <v>0</v>
      </c>
      <c r="M11" s="114">
        <f>'7. Medidas b).i)'!S39</f>
        <v>0</v>
      </c>
      <c r="N11" s="114">
        <f>'7. Medidas b).i)'!T39</f>
        <v>0</v>
      </c>
      <c r="O11" s="114">
        <f>'7. Medidas b).i)'!U39</f>
        <v>0</v>
      </c>
      <c r="P11" s="114">
        <f>'7. Medidas b).i)'!V39</f>
        <v>0</v>
      </c>
      <c r="Q11" s="114">
        <f>'7. Medidas b).i)'!W39</f>
        <v>0</v>
      </c>
      <c r="R11" s="114">
        <f>'7. Medidas b).i)'!X39</f>
        <v>0</v>
      </c>
      <c r="S11" s="114">
        <f>'7. Medidas b).i)'!Y39</f>
        <v>0</v>
      </c>
      <c r="T11" s="114">
        <f>'7. Medidas b).i)'!Z39</f>
        <v>0</v>
      </c>
      <c r="U11" s="114">
        <f>'7. Medidas b).i)'!AA39</f>
        <v>0</v>
      </c>
      <c r="V11" s="114">
        <f>'7. Medidas b).i)'!AB39</f>
        <v>0</v>
      </c>
      <c r="W11" s="114">
        <f>'7. Medidas b).i)'!AC39</f>
        <v>0</v>
      </c>
      <c r="X11" s="114">
        <f>'7. Medidas b).i)'!AD39</f>
        <v>0</v>
      </c>
      <c r="Y11" s="114">
        <f>'7. Medidas b).i)'!AE39</f>
        <v>0</v>
      </c>
      <c r="Z11" s="114">
        <f>'7. Medidas b).i)'!AF39</f>
        <v>0</v>
      </c>
      <c r="AA11" s="114">
        <f>'7. Medidas b).i)'!AG39</f>
        <v>0</v>
      </c>
      <c r="AB11" s="114">
        <f>'7. Medidas b).i)'!AH39</f>
        <v>0</v>
      </c>
      <c r="AC11" s="190">
        <f t="shared" si="0"/>
        <v>0</v>
      </c>
      <c r="AD11" s="188">
        <f t="shared" si="1"/>
        <v>0</v>
      </c>
    </row>
    <row r="12" spans="2:30" ht="15.75" thickBot="1" x14ac:dyDescent="0.3">
      <c r="B12" s="177"/>
      <c r="C12" s="185" t="s">
        <v>137</v>
      </c>
      <c r="D12" s="114">
        <f>'8. Medidas b).ii)'!I39</f>
        <v>0</v>
      </c>
      <c r="E12" s="114">
        <f>'8. Medidas b).ii)'!J39</f>
        <v>0</v>
      </c>
      <c r="F12" s="114">
        <f>'8. Medidas b).ii)'!K39</f>
        <v>0</v>
      </c>
      <c r="G12" s="114">
        <f>'8. Medidas b).ii)'!L39</f>
        <v>0</v>
      </c>
      <c r="H12" s="114">
        <f>'8. Medidas b).ii)'!M39</f>
        <v>0</v>
      </c>
      <c r="I12" s="114">
        <f>'8. Medidas b).ii)'!N39</f>
        <v>0</v>
      </c>
      <c r="J12" s="114">
        <f>'8. Medidas b).ii)'!O39</f>
        <v>0</v>
      </c>
      <c r="K12" s="114">
        <f>'8. Medidas b).ii)'!P39</f>
        <v>0</v>
      </c>
      <c r="L12" s="114">
        <f>'8. Medidas b).ii)'!Q39</f>
        <v>0</v>
      </c>
      <c r="M12" s="114">
        <f>'8. Medidas b).ii)'!R39</f>
        <v>0</v>
      </c>
      <c r="N12" s="114">
        <f>'8. Medidas b).ii)'!S39</f>
        <v>0</v>
      </c>
      <c r="O12" s="114">
        <f>'8. Medidas b).ii)'!T39</f>
        <v>0</v>
      </c>
      <c r="P12" s="114">
        <f>'8. Medidas b).ii)'!U39</f>
        <v>0</v>
      </c>
      <c r="Q12" s="114">
        <f>'8. Medidas b).ii)'!V39</f>
        <v>0</v>
      </c>
      <c r="R12" s="114">
        <f>'8. Medidas b).ii)'!W39</f>
        <v>0</v>
      </c>
      <c r="S12" s="114">
        <f>'8. Medidas b).ii)'!X39</f>
        <v>0</v>
      </c>
      <c r="T12" s="114">
        <f>'8. Medidas b).ii)'!Y39</f>
        <v>0</v>
      </c>
      <c r="U12" s="114">
        <f>'8. Medidas b).ii)'!Z39</f>
        <v>0</v>
      </c>
      <c r="V12" s="114">
        <f>'8. Medidas b).ii)'!AA39</f>
        <v>0</v>
      </c>
      <c r="W12" s="114">
        <f>'8. Medidas b).ii)'!AB39</f>
        <v>0</v>
      </c>
      <c r="X12" s="114">
        <f>'8. Medidas b).ii)'!AC39</f>
        <v>0</v>
      </c>
      <c r="Y12" s="114">
        <f>'8. Medidas b).ii)'!AD39</f>
        <v>0</v>
      </c>
      <c r="Z12" s="114">
        <f>'8. Medidas b).ii)'!AE39</f>
        <v>0</v>
      </c>
      <c r="AA12" s="114">
        <f>'8. Medidas b).ii)'!AF39</f>
        <v>0</v>
      </c>
      <c r="AB12" s="114">
        <f>'8. Medidas b).ii)'!AG39</f>
        <v>0</v>
      </c>
      <c r="AC12" s="190">
        <f t="shared" si="0"/>
        <v>0</v>
      </c>
      <c r="AD12" s="188">
        <f t="shared" si="1"/>
        <v>0</v>
      </c>
    </row>
    <row r="13" spans="2:30" ht="15.75" thickBot="1" x14ac:dyDescent="0.3">
      <c r="B13" s="177"/>
      <c r="C13" s="185" t="s">
        <v>327</v>
      </c>
      <c r="D13" s="370">
        <f>'9. Medidas c)'!J49</f>
        <v>0</v>
      </c>
      <c r="E13" s="370">
        <f>'9. Medidas c)'!K49</f>
        <v>0</v>
      </c>
      <c r="F13" s="370">
        <f>'9. Medidas c)'!L49</f>
        <v>0</v>
      </c>
      <c r="G13" s="370">
        <f>'9. Medidas c)'!M49</f>
        <v>0</v>
      </c>
      <c r="H13" s="370">
        <f>'9. Medidas c)'!N49</f>
        <v>0</v>
      </c>
      <c r="I13" s="370">
        <f>'9. Medidas c)'!O49</f>
        <v>0</v>
      </c>
      <c r="J13" s="370">
        <f>'9. Medidas c)'!P49</f>
        <v>0</v>
      </c>
      <c r="K13" s="370">
        <f>'9. Medidas c)'!Q49</f>
        <v>0</v>
      </c>
      <c r="L13" s="370">
        <f>'9. Medidas c)'!R49</f>
        <v>0</v>
      </c>
      <c r="M13" s="370">
        <f>'9. Medidas c)'!S49</f>
        <v>0</v>
      </c>
      <c r="N13" s="370">
        <f>'9. Medidas c)'!T49</f>
        <v>0</v>
      </c>
      <c r="O13" s="370">
        <f>'9. Medidas c)'!U49</f>
        <v>0</v>
      </c>
      <c r="P13" s="370">
        <f>'9. Medidas c)'!V49</f>
        <v>0</v>
      </c>
      <c r="Q13" s="370">
        <f>'9. Medidas c)'!W49</f>
        <v>0</v>
      </c>
      <c r="R13" s="370">
        <f>'9. Medidas c)'!X49</f>
        <v>0</v>
      </c>
      <c r="S13" s="370">
        <f>'9. Medidas c)'!Y49</f>
        <v>0</v>
      </c>
      <c r="T13" s="370">
        <f>'9. Medidas c)'!Z49</f>
        <v>0</v>
      </c>
      <c r="U13" s="370">
        <f>'9. Medidas c)'!AA49</f>
        <v>0</v>
      </c>
      <c r="V13" s="370">
        <f>'9. Medidas c)'!AB49</f>
        <v>0</v>
      </c>
      <c r="W13" s="370">
        <f>'9. Medidas c)'!AC49</f>
        <v>0</v>
      </c>
      <c r="X13" s="370">
        <f>'9. Medidas c)'!AD49</f>
        <v>0</v>
      </c>
      <c r="Y13" s="370">
        <f>'9. Medidas c)'!AE49</f>
        <v>0</v>
      </c>
      <c r="Z13" s="370">
        <f>'9. Medidas c)'!AF49</f>
        <v>0</v>
      </c>
      <c r="AA13" s="370">
        <f>'9. Medidas c)'!AG49</f>
        <v>0</v>
      </c>
      <c r="AB13" s="370">
        <f>'9. Medidas c)'!AH49</f>
        <v>0</v>
      </c>
      <c r="AC13" s="190">
        <f t="shared" si="0"/>
        <v>0</v>
      </c>
      <c r="AD13" s="188">
        <f t="shared" si="1"/>
        <v>0</v>
      </c>
    </row>
    <row r="14" spans="2:30" ht="15" customHeight="1" thickBot="1" x14ac:dyDescent="0.35">
      <c r="B14" s="177"/>
      <c r="C14" s="191" t="s">
        <v>197</v>
      </c>
      <c r="D14" s="192">
        <f>SUM(D6:D13)</f>
        <v>0</v>
      </c>
      <c r="E14" s="192">
        <f t="shared" ref="E14:AB14" si="2">SUM(E6:E13)</f>
        <v>0</v>
      </c>
      <c r="F14" s="192">
        <f t="shared" si="2"/>
        <v>0</v>
      </c>
      <c r="G14" s="192">
        <f t="shared" si="2"/>
        <v>0</v>
      </c>
      <c r="H14" s="192">
        <f t="shared" si="2"/>
        <v>0</v>
      </c>
      <c r="I14" s="192">
        <f t="shared" si="2"/>
        <v>0</v>
      </c>
      <c r="J14" s="192">
        <f t="shared" si="2"/>
        <v>0</v>
      </c>
      <c r="K14" s="192">
        <f t="shared" si="2"/>
        <v>0</v>
      </c>
      <c r="L14" s="192">
        <f t="shared" si="2"/>
        <v>0</v>
      </c>
      <c r="M14" s="192">
        <f t="shared" si="2"/>
        <v>0</v>
      </c>
      <c r="N14" s="192">
        <f t="shared" si="2"/>
        <v>0</v>
      </c>
      <c r="O14" s="192">
        <f t="shared" si="2"/>
        <v>0</v>
      </c>
      <c r="P14" s="192">
        <f t="shared" si="2"/>
        <v>0</v>
      </c>
      <c r="Q14" s="192">
        <f t="shared" si="2"/>
        <v>0</v>
      </c>
      <c r="R14" s="192">
        <f t="shared" si="2"/>
        <v>0</v>
      </c>
      <c r="S14" s="192">
        <f t="shared" si="2"/>
        <v>0</v>
      </c>
      <c r="T14" s="192">
        <f t="shared" si="2"/>
        <v>0</v>
      </c>
      <c r="U14" s="192">
        <f t="shared" si="2"/>
        <v>0</v>
      </c>
      <c r="V14" s="192">
        <f t="shared" si="2"/>
        <v>0</v>
      </c>
      <c r="W14" s="192">
        <f t="shared" si="2"/>
        <v>0</v>
      </c>
      <c r="X14" s="192">
        <f t="shared" si="2"/>
        <v>0</v>
      </c>
      <c r="Y14" s="192">
        <f t="shared" si="2"/>
        <v>0</v>
      </c>
      <c r="Z14" s="192">
        <f t="shared" si="2"/>
        <v>0</v>
      </c>
      <c r="AA14" s="192">
        <f t="shared" si="2"/>
        <v>0</v>
      </c>
      <c r="AB14" s="192">
        <f t="shared" si="2"/>
        <v>0</v>
      </c>
      <c r="AC14" s="569">
        <f t="shared" si="0"/>
        <v>0</v>
      </c>
    </row>
    <row r="15" spans="2:30" s="196" customFormat="1" ht="15" customHeight="1" thickBot="1" x14ac:dyDescent="0.3">
      <c r="B15" s="193"/>
      <c r="C15" s="194" t="s">
        <v>75</v>
      </c>
      <c r="D15" s="195">
        <f>D14</f>
        <v>0</v>
      </c>
      <c r="E15" s="195">
        <f>E14+D15</f>
        <v>0</v>
      </c>
      <c r="F15" s="195">
        <f t="shared" ref="F15:AB15" si="3">F14+E15</f>
        <v>0</v>
      </c>
      <c r="G15" s="195">
        <f t="shared" si="3"/>
        <v>0</v>
      </c>
      <c r="H15" s="195">
        <f t="shared" si="3"/>
        <v>0</v>
      </c>
      <c r="I15" s="195">
        <f t="shared" si="3"/>
        <v>0</v>
      </c>
      <c r="J15" s="195">
        <f t="shared" si="3"/>
        <v>0</v>
      </c>
      <c r="K15" s="195">
        <f t="shared" si="3"/>
        <v>0</v>
      </c>
      <c r="L15" s="195">
        <f t="shared" si="3"/>
        <v>0</v>
      </c>
      <c r="M15" s="195">
        <f t="shared" si="3"/>
        <v>0</v>
      </c>
      <c r="N15" s="195">
        <f t="shared" si="3"/>
        <v>0</v>
      </c>
      <c r="O15" s="195">
        <f t="shared" si="3"/>
        <v>0</v>
      </c>
      <c r="P15" s="195">
        <f t="shared" si="3"/>
        <v>0</v>
      </c>
      <c r="Q15" s="195">
        <f t="shared" si="3"/>
        <v>0</v>
      </c>
      <c r="R15" s="195">
        <f t="shared" si="3"/>
        <v>0</v>
      </c>
      <c r="S15" s="195">
        <f t="shared" si="3"/>
        <v>0</v>
      </c>
      <c r="T15" s="195">
        <f t="shared" si="3"/>
        <v>0</v>
      </c>
      <c r="U15" s="195">
        <f t="shared" si="3"/>
        <v>0</v>
      </c>
      <c r="V15" s="195">
        <f t="shared" si="3"/>
        <v>0</v>
      </c>
      <c r="W15" s="195">
        <f t="shared" si="3"/>
        <v>0</v>
      </c>
      <c r="X15" s="195">
        <f t="shared" si="3"/>
        <v>0</v>
      </c>
      <c r="Y15" s="195">
        <f t="shared" si="3"/>
        <v>0</v>
      </c>
      <c r="Z15" s="195">
        <f t="shared" si="3"/>
        <v>0</v>
      </c>
      <c r="AA15" s="195">
        <f>AA14+Z15</f>
        <v>0</v>
      </c>
      <c r="AB15" s="195">
        <f t="shared" si="3"/>
        <v>0</v>
      </c>
      <c r="AC15" s="190"/>
    </row>
    <row r="16" spans="2:30" s="143" customFormat="1" ht="45.75" hidden="1" thickBot="1" x14ac:dyDescent="0.3">
      <c r="B16" s="9"/>
      <c r="C16" s="197" t="s">
        <v>157</v>
      </c>
      <c r="D16" s="198">
        <f>IF(D14=0,0,$D$68*0.7)</f>
        <v>0</v>
      </c>
      <c r="E16" s="198">
        <f>IF(E14=0,0,$D$68*0.7)</f>
        <v>0</v>
      </c>
      <c r="F16" s="198">
        <f t="shared" ref="F16:AB16" si="4">IF(F14=0,0,$D$68*0.7)</f>
        <v>0</v>
      </c>
      <c r="G16" s="198">
        <f t="shared" si="4"/>
        <v>0</v>
      </c>
      <c r="H16" s="198">
        <f t="shared" si="4"/>
        <v>0</v>
      </c>
      <c r="I16" s="198">
        <f t="shared" si="4"/>
        <v>0</v>
      </c>
      <c r="J16" s="198">
        <f t="shared" si="4"/>
        <v>0</v>
      </c>
      <c r="K16" s="198">
        <f t="shared" si="4"/>
        <v>0</v>
      </c>
      <c r="L16" s="198">
        <f t="shared" si="4"/>
        <v>0</v>
      </c>
      <c r="M16" s="198">
        <f t="shared" si="4"/>
        <v>0</v>
      </c>
      <c r="N16" s="198">
        <f t="shared" si="4"/>
        <v>0</v>
      </c>
      <c r="O16" s="198">
        <f t="shared" si="4"/>
        <v>0</v>
      </c>
      <c r="P16" s="198">
        <f t="shared" si="4"/>
        <v>0</v>
      </c>
      <c r="Q16" s="198">
        <f t="shared" si="4"/>
        <v>0</v>
      </c>
      <c r="R16" s="198">
        <f t="shared" si="4"/>
        <v>0</v>
      </c>
      <c r="S16" s="198">
        <f t="shared" si="4"/>
        <v>0</v>
      </c>
      <c r="T16" s="198">
        <f t="shared" si="4"/>
        <v>0</v>
      </c>
      <c r="U16" s="198">
        <f t="shared" si="4"/>
        <v>0</v>
      </c>
      <c r="V16" s="198">
        <f t="shared" si="4"/>
        <v>0</v>
      </c>
      <c r="W16" s="198">
        <f t="shared" si="4"/>
        <v>0</v>
      </c>
      <c r="X16" s="198">
        <f t="shared" si="4"/>
        <v>0</v>
      </c>
      <c r="Y16" s="198">
        <f t="shared" si="4"/>
        <v>0</v>
      </c>
      <c r="Z16" s="198">
        <f t="shared" si="4"/>
        <v>0</v>
      </c>
      <c r="AA16" s="198">
        <f t="shared" si="4"/>
        <v>0</v>
      </c>
      <c r="AB16" s="198">
        <f t="shared" si="4"/>
        <v>0</v>
      </c>
      <c r="AC16" s="199">
        <f>SUM(D16:AB16)</f>
        <v>0</v>
      </c>
    </row>
    <row r="17" spans="2:29" s="204" customFormat="1" ht="15" hidden="1" customHeight="1" thickBot="1" x14ac:dyDescent="0.3">
      <c r="B17" s="200"/>
      <c r="C17" s="201" t="s">
        <v>75</v>
      </c>
      <c r="D17" s="202">
        <f>D16</f>
        <v>0</v>
      </c>
      <c r="E17" s="202">
        <f>IF(E16="Não Elegível","Não Elegível",E16+D17)</f>
        <v>0</v>
      </c>
      <c r="F17" s="202">
        <f t="shared" ref="F17:AB17" si="5">IF(F16="Não Elegível","Não Elegível",F16+E17)</f>
        <v>0</v>
      </c>
      <c r="G17" s="202">
        <f t="shared" si="5"/>
        <v>0</v>
      </c>
      <c r="H17" s="202">
        <f t="shared" si="5"/>
        <v>0</v>
      </c>
      <c r="I17" s="202">
        <f t="shared" si="5"/>
        <v>0</v>
      </c>
      <c r="J17" s="202">
        <f t="shared" si="5"/>
        <v>0</v>
      </c>
      <c r="K17" s="202">
        <f t="shared" si="5"/>
        <v>0</v>
      </c>
      <c r="L17" s="202">
        <f t="shared" si="5"/>
        <v>0</v>
      </c>
      <c r="M17" s="202">
        <f t="shared" si="5"/>
        <v>0</v>
      </c>
      <c r="N17" s="202">
        <f t="shared" si="5"/>
        <v>0</v>
      </c>
      <c r="O17" s="202">
        <f t="shared" si="5"/>
        <v>0</v>
      </c>
      <c r="P17" s="202">
        <f t="shared" si="5"/>
        <v>0</v>
      </c>
      <c r="Q17" s="202">
        <f t="shared" si="5"/>
        <v>0</v>
      </c>
      <c r="R17" s="202">
        <f t="shared" si="5"/>
        <v>0</v>
      </c>
      <c r="S17" s="202">
        <f t="shared" si="5"/>
        <v>0</v>
      </c>
      <c r="T17" s="202">
        <f t="shared" si="5"/>
        <v>0</v>
      </c>
      <c r="U17" s="202">
        <f t="shared" si="5"/>
        <v>0</v>
      </c>
      <c r="V17" s="202">
        <f t="shared" si="5"/>
        <v>0</v>
      </c>
      <c r="W17" s="202">
        <f t="shared" si="5"/>
        <v>0</v>
      </c>
      <c r="X17" s="202">
        <f t="shared" si="5"/>
        <v>0</v>
      </c>
      <c r="Y17" s="202">
        <f t="shared" si="5"/>
        <v>0</v>
      </c>
      <c r="Z17" s="202">
        <f t="shared" si="5"/>
        <v>0</v>
      </c>
      <c r="AA17" s="202">
        <f t="shared" si="5"/>
        <v>0</v>
      </c>
      <c r="AB17" s="202">
        <f t="shared" si="5"/>
        <v>0</v>
      </c>
      <c r="AC17" s="203"/>
    </row>
    <row r="18" spans="2:29" ht="15" hidden="1" customHeight="1" thickBot="1" x14ac:dyDescent="0.3">
      <c r="B18" s="177"/>
      <c r="C18" s="118"/>
      <c r="D18" s="116">
        <f>IF(D17&gt;$G$60,1,0)</f>
        <v>0</v>
      </c>
      <c r="E18" s="116">
        <f t="shared" ref="E18:AB18" si="6">IF(E17&gt;$G$60,1,0)</f>
        <v>0</v>
      </c>
      <c r="F18" s="116">
        <f t="shared" si="6"/>
        <v>0</v>
      </c>
      <c r="G18" s="116">
        <f t="shared" si="6"/>
        <v>0</v>
      </c>
      <c r="H18" s="116">
        <f t="shared" si="6"/>
        <v>0</v>
      </c>
      <c r="I18" s="116">
        <f t="shared" si="6"/>
        <v>0</v>
      </c>
      <c r="J18" s="116">
        <f t="shared" si="6"/>
        <v>0</v>
      </c>
      <c r="K18" s="116">
        <f t="shared" si="6"/>
        <v>0</v>
      </c>
      <c r="L18" s="116">
        <f t="shared" si="6"/>
        <v>0</v>
      </c>
      <c r="M18" s="116">
        <f t="shared" si="6"/>
        <v>0</v>
      </c>
      <c r="N18" s="116">
        <f t="shared" si="6"/>
        <v>0</v>
      </c>
      <c r="O18" s="116">
        <f t="shared" si="6"/>
        <v>0</v>
      </c>
      <c r="P18" s="116">
        <f t="shared" si="6"/>
        <v>0</v>
      </c>
      <c r="Q18" s="116">
        <f t="shared" si="6"/>
        <v>0</v>
      </c>
      <c r="R18" s="116">
        <f t="shared" si="6"/>
        <v>0</v>
      </c>
      <c r="S18" s="116">
        <f t="shared" si="6"/>
        <v>0</v>
      </c>
      <c r="T18" s="116">
        <f t="shared" si="6"/>
        <v>0</v>
      </c>
      <c r="U18" s="116">
        <f t="shared" si="6"/>
        <v>0</v>
      </c>
      <c r="V18" s="116">
        <f t="shared" si="6"/>
        <v>0</v>
      </c>
      <c r="W18" s="116">
        <f t="shared" si="6"/>
        <v>0</v>
      </c>
      <c r="X18" s="116">
        <f t="shared" si="6"/>
        <v>0</v>
      </c>
      <c r="Y18" s="116">
        <f t="shared" si="6"/>
        <v>0</v>
      </c>
      <c r="Z18" s="116">
        <f t="shared" si="6"/>
        <v>0</v>
      </c>
      <c r="AA18" s="116">
        <f t="shared" si="6"/>
        <v>0</v>
      </c>
      <c r="AB18" s="116">
        <f t="shared" si="6"/>
        <v>0</v>
      </c>
      <c r="AC18" s="205"/>
    </row>
    <row r="19" spans="2:29" ht="19.5" customHeight="1" thickBot="1" x14ac:dyDescent="0.3">
      <c r="B19" s="177"/>
      <c r="C19" s="116"/>
      <c r="D19" s="1146" t="s">
        <v>25</v>
      </c>
      <c r="E19" s="1147"/>
      <c r="F19" s="1147"/>
      <c r="G19" s="1147"/>
      <c r="H19" s="1147"/>
      <c r="I19" s="1147"/>
      <c r="J19" s="1147"/>
      <c r="K19" s="1147"/>
      <c r="L19" s="1147"/>
      <c r="M19" s="1147"/>
      <c r="N19" s="1147"/>
      <c r="O19" s="1147"/>
      <c r="P19" s="1147"/>
      <c r="Q19" s="1147"/>
      <c r="R19" s="1147"/>
      <c r="S19" s="1147"/>
      <c r="T19" s="1147"/>
      <c r="U19" s="1147"/>
      <c r="V19" s="1147"/>
      <c r="W19" s="1147"/>
      <c r="X19" s="1147"/>
      <c r="Y19" s="1147"/>
      <c r="Z19" s="1147"/>
      <c r="AA19" s="1147"/>
      <c r="AB19" s="1147"/>
      <c r="AC19" s="1148"/>
    </row>
    <row r="20" spans="2:29" ht="15" thickBot="1" x14ac:dyDescent="0.35">
      <c r="B20" s="177"/>
      <c r="C20" s="175" t="s">
        <v>168</v>
      </c>
      <c r="D20" s="176">
        <v>1</v>
      </c>
      <c r="E20" s="176">
        <v>2</v>
      </c>
      <c r="F20" s="176">
        <v>3</v>
      </c>
      <c r="G20" s="176">
        <v>4</v>
      </c>
      <c r="H20" s="176">
        <v>5</v>
      </c>
      <c r="I20" s="176">
        <v>6</v>
      </c>
      <c r="J20" s="176">
        <v>7</v>
      </c>
      <c r="K20" s="176">
        <v>8</v>
      </c>
      <c r="L20" s="176">
        <v>9</v>
      </c>
      <c r="M20" s="176">
        <v>10</v>
      </c>
      <c r="N20" s="176">
        <v>11</v>
      </c>
      <c r="O20" s="176">
        <v>12</v>
      </c>
      <c r="P20" s="176">
        <v>13</v>
      </c>
      <c r="Q20" s="176">
        <v>14</v>
      </c>
      <c r="R20" s="176">
        <v>15</v>
      </c>
      <c r="S20" s="176">
        <v>16</v>
      </c>
      <c r="T20" s="176">
        <v>17</v>
      </c>
      <c r="U20" s="176">
        <v>18</v>
      </c>
      <c r="V20" s="176">
        <v>19</v>
      </c>
      <c r="W20" s="176">
        <v>20</v>
      </c>
      <c r="X20" s="176">
        <v>21</v>
      </c>
      <c r="Y20" s="176">
        <v>22</v>
      </c>
      <c r="Z20" s="176">
        <v>23</v>
      </c>
      <c r="AA20" s="176">
        <v>24</v>
      </c>
      <c r="AB20" s="176">
        <v>25</v>
      </c>
      <c r="AC20" s="206" t="s">
        <v>53</v>
      </c>
    </row>
    <row r="21" spans="2:29" s="184" customFormat="1" ht="15" customHeight="1" thickBot="1" x14ac:dyDescent="0.3">
      <c r="B21" s="177"/>
      <c r="C21" s="118"/>
      <c r="D21" s="178"/>
      <c r="E21" s="179"/>
      <c r="F21" s="179"/>
      <c r="G21" s="179"/>
      <c r="H21" s="179"/>
      <c r="I21" s="179"/>
      <c r="J21" s="179"/>
      <c r="K21" s="179"/>
      <c r="L21" s="180"/>
      <c r="M21" s="181"/>
      <c r="N21" s="178"/>
      <c r="O21" s="179"/>
      <c r="P21" s="179"/>
      <c r="Q21" s="179"/>
      <c r="R21" s="179"/>
      <c r="S21" s="179"/>
      <c r="T21" s="179"/>
      <c r="U21" s="179"/>
      <c r="V21" s="180"/>
      <c r="W21" s="181"/>
      <c r="X21" s="181"/>
      <c r="Y21" s="181"/>
      <c r="Z21" s="181"/>
      <c r="AA21" s="181"/>
      <c r="AB21" s="181"/>
      <c r="AC21" s="183"/>
    </row>
    <row r="22" spans="2:29" ht="15" x14ac:dyDescent="0.25">
      <c r="B22" s="177"/>
      <c r="C22" s="185" t="s">
        <v>70</v>
      </c>
      <c r="D22" s="385">
        <f>'2. Medidas a).i)'!I48</f>
        <v>0</v>
      </c>
      <c r="E22" s="386">
        <f>'2. Medidas a).i)'!J48</f>
        <v>0</v>
      </c>
      <c r="F22" s="386">
        <f>'2. Medidas a).i)'!K48</f>
        <v>0</v>
      </c>
      <c r="G22" s="386">
        <f>'2. Medidas a).i)'!L48</f>
        <v>0</v>
      </c>
      <c r="H22" s="386">
        <f>'2. Medidas a).i)'!M48</f>
        <v>0</v>
      </c>
      <c r="I22" s="386">
        <f>'2. Medidas a).i)'!N48</f>
        <v>0</v>
      </c>
      <c r="J22" s="386">
        <f>'2. Medidas a).i)'!O48</f>
        <v>0</v>
      </c>
      <c r="K22" s="386">
        <f>'2. Medidas a).i)'!P48</f>
        <v>0</v>
      </c>
      <c r="L22" s="386">
        <f>'2. Medidas a).i)'!Q48</f>
        <v>0</v>
      </c>
      <c r="M22" s="386">
        <f>'2. Medidas a).i)'!R48</f>
        <v>0</v>
      </c>
      <c r="N22" s="386">
        <f>'2. Medidas a).i)'!S48</f>
        <v>0</v>
      </c>
      <c r="O22" s="386">
        <f>'2. Medidas a).i)'!T48</f>
        <v>0</v>
      </c>
      <c r="P22" s="386">
        <f>'2. Medidas a).i)'!U48</f>
        <v>0</v>
      </c>
      <c r="Q22" s="386">
        <f>'2. Medidas a).i)'!V48</f>
        <v>0</v>
      </c>
      <c r="R22" s="386">
        <f>'2. Medidas a).i)'!W48</f>
        <v>0</v>
      </c>
      <c r="S22" s="386">
        <f>'2. Medidas a).i)'!X48</f>
        <v>0</v>
      </c>
      <c r="T22" s="386">
        <f>'2. Medidas a).i)'!Y48</f>
        <v>0</v>
      </c>
      <c r="U22" s="386">
        <f>'2. Medidas a).i)'!Z48</f>
        <v>0</v>
      </c>
      <c r="V22" s="386">
        <f>'2. Medidas a).i)'!AA48</f>
        <v>0</v>
      </c>
      <c r="W22" s="386">
        <f>'2. Medidas a).i)'!AB48</f>
        <v>0</v>
      </c>
      <c r="X22" s="386">
        <f>'2. Medidas a).i)'!AC48</f>
        <v>0</v>
      </c>
      <c r="Y22" s="386">
        <f>'2. Medidas a).i)'!AD48</f>
        <v>0</v>
      </c>
      <c r="Z22" s="386">
        <f>'2. Medidas a).i)'!AE48</f>
        <v>0</v>
      </c>
      <c r="AA22" s="386">
        <f>'2. Medidas a).i)'!AF48</f>
        <v>0</v>
      </c>
      <c r="AB22" s="386">
        <f>'2. Medidas a).i)'!AG48</f>
        <v>0</v>
      </c>
      <c r="AC22" s="387">
        <f t="shared" ref="AC22:AC29" si="7">SUM(D22:AB22)</f>
        <v>0</v>
      </c>
    </row>
    <row r="23" spans="2:29" ht="15" x14ac:dyDescent="0.25">
      <c r="B23" s="177"/>
      <c r="C23" s="185" t="s">
        <v>71</v>
      </c>
      <c r="D23" s="388">
        <f>'3. Medidas a).ii)'!I52</f>
        <v>0</v>
      </c>
      <c r="E23" s="389">
        <f>'3. Medidas a).ii)'!J52</f>
        <v>0</v>
      </c>
      <c r="F23" s="389">
        <f>'3. Medidas a).ii)'!K52</f>
        <v>0</v>
      </c>
      <c r="G23" s="389">
        <f>'3. Medidas a).ii)'!L52</f>
        <v>0</v>
      </c>
      <c r="H23" s="389">
        <f>'3. Medidas a).ii)'!M52</f>
        <v>0</v>
      </c>
      <c r="I23" s="389">
        <f>'3. Medidas a).ii)'!N52</f>
        <v>0</v>
      </c>
      <c r="J23" s="389">
        <f>'3. Medidas a).ii)'!O52</f>
        <v>0</v>
      </c>
      <c r="K23" s="389">
        <f>'3. Medidas a).ii)'!P52</f>
        <v>0</v>
      </c>
      <c r="L23" s="389">
        <f>'3. Medidas a).ii)'!Q52</f>
        <v>0</v>
      </c>
      <c r="M23" s="389">
        <f>'3. Medidas a).ii)'!R52</f>
        <v>0</v>
      </c>
      <c r="N23" s="389">
        <f>'3. Medidas a).ii)'!S52</f>
        <v>0</v>
      </c>
      <c r="O23" s="389">
        <f>'3. Medidas a).ii)'!T52</f>
        <v>0</v>
      </c>
      <c r="P23" s="389">
        <f>'3. Medidas a).ii)'!U52</f>
        <v>0</v>
      </c>
      <c r="Q23" s="389">
        <f>'3. Medidas a).ii)'!V52</f>
        <v>0</v>
      </c>
      <c r="R23" s="389">
        <f>'3. Medidas a).ii)'!W52</f>
        <v>0</v>
      </c>
      <c r="S23" s="389">
        <f>'3. Medidas a).ii)'!X52</f>
        <v>0</v>
      </c>
      <c r="T23" s="389">
        <f>'3. Medidas a).ii)'!Y52</f>
        <v>0</v>
      </c>
      <c r="U23" s="389">
        <f>'3. Medidas a).ii)'!Z52</f>
        <v>0</v>
      </c>
      <c r="V23" s="389">
        <f>'3. Medidas a).ii)'!AA52</f>
        <v>0</v>
      </c>
      <c r="W23" s="389">
        <f>'3. Medidas a).ii)'!AB52</f>
        <v>0</v>
      </c>
      <c r="X23" s="389">
        <f>'3. Medidas a).ii)'!AC52</f>
        <v>0</v>
      </c>
      <c r="Y23" s="389">
        <f>'3. Medidas a).ii)'!AD52</f>
        <v>0</v>
      </c>
      <c r="Z23" s="389">
        <f>'3. Medidas a).ii)'!AE52</f>
        <v>0</v>
      </c>
      <c r="AA23" s="389">
        <f>'3. Medidas a).ii)'!AF52</f>
        <v>0</v>
      </c>
      <c r="AB23" s="389">
        <f>'3. Medidas a).ii)'!AG52</f>
        <v>0</v>
      </c>
      <c r="AC23" s="390">
        <f t="shared" si="7"/>
        <v>0</v>
      </c>
    </row>
    <row r="24" spans="2:29" ht="15" x14ac:dyDescent="0.25">
      <c r="B24" s="177"/>
      <c r="C24" s="185" t="s">
        <v>325</v>
      </c>
      <c r="D24" s="388">
        <f>'4. Medidas a).iii) Sistemas'!I50</f>
        <v>0</v>
      </c>
      <c r="E24" s="389">
        <f>'4. Medidas a).iii) Sistemas'!J50</f>
        <v>0</v>
      </c>
      <c r="F24" s="389">
        <f>'4. Medidas a).iii) Sistemas'!K50</f>
        <v>0</v>
      </c>
      <c r="G24" s="389">
        <f>'4. Medidas a).iii) Sistemas'!L50</f>
        <v>0</v>
      </c>
      <c r="H24" s="389">
        <f>'4. Medidas a).iii) Sistemas'!M50</f>
        <v>0</v>
      </c>
      <c r="I24" s="389">
        <f>'4. Medidas a).iii) Sistemas'!N50</f>
        <v>0</v>
      </c>
      <c r="J24" s="389">
        <f>'4. Medidas a).iii) Sistemas'!O50</f>
        <v>0</v>
      </c>
      <c r="K24" s="389">
        <f>'4. Medidas a).iii) Sistemas'!P50</f>
        <v>0</v>
      </c>
      <c r="L24" s="389">
        <f>'4. Medidas a).iii) Sistemas'!Q50</f>
        <v>0</v>
      </c>
      <c r="M24" s="389">
        <f>'4. Medidas a).iii) Sistemas'!R50</f>
        <v>0</v>
      </c>
      <c r="N24" s="389">
        <f>'4. Medidas a).iii) Sistemas'!S50</f>
        <v>0</v>
      </c>
      <c r="O24" s="389">
        <f>'4. Medidas a).iii) Sistemas'!T50</f>
        <v>0</v>
      </c>
      <c r="P24" s="389">
        <f>'4. Medidas a).iii) Sistemas'!U50</f>
        <v>0</v>
      </c>
      <c r="Q24" s="389">
        <f>'4. Medidas a).iii) Sistemas'!V50</f>
        <v>0</v>
      </c>
      <c r="R24" s="389">
        <f>'4. Medidas a).iii) Sistemas'!W50</f>
        <v>0</v>
      </c>
      <c r="S24" s="389">
        <f>'4. Medidas a).iii) Sistemas'!X50</f>
        <v>0</v>
      </c>
      <c r="T24" s="389">
        <f>'4. Medidas a).iii) Sistemas'!Y50</f>
        <v>0</v>
      </c>
      <c r="U24" s="389">
        <f>'4. Medidas a).iii) Sistemas'!Z50</f>
        <v>0</v>
      </c>
      <c r="V24" s="389">
        <f>'4. Medidas a).iii) Sistemas'!AA50</f>
        <v>0</v>
      </c>
      <c r="W24" s="389">
        <f>'4. Medidas a).iii) Sistemas'!AB50</f>
        <v>0</v>
      </c>
      <c r="X24" s="389">
        <f>'4. Medidas a).iii) Sistemas'!AC50</f>
        <v>0</v>
      </c>
      <c r="Y24" s="389">
        <f>'4. Medidas a).iii) Sistemas'!AD50</f>
        <v>0</v>
      </c>
      <c r="Z24" s="389">
        <f>'4. Medidas a).iii) Sistemas'!AE50</f>
        <v>0</v>
      </c>
      <c r="AA24" s="389">
        <f>'4. Medidas a).iii) Sistemas'!AF50</f>
        <v>0</v>
      </c>
      <c r="AB24" s="389">
        <f>'4. Medidas a).iii) Sistemas'!AG50</f>
        <v>0</v>
      </c>
      <c r="AC24" s="390">
        <f t="shared" si="7"/>
        <v>0</v>
      </c>
    </row>
    <row r="25" spans="2:29" x14ac:dyDescent="0.3">
      <c r="B25" s="131"/>
      <c r="C25" s="185" t="s">
        <v>328</v>
      </c>
      <c r="D25" s="388">
        <f>'5. Medidas a).iii) Iluminação'!I52</f>
        <v>0</v>
      </c>
      <c r="E25" s="389">
        <f>'5. Medidas a).iii) Iluminação'!J52</f>
        <v>0</v>
      </c>
      <c r="F25" s="389">
        <f>'5. Medidas a).iii) Iluminação'!K52</f>
        <v>0</v>
      </c>
      <c r="G25" s="389">
        <f>'5. Medidas a).iii) Iluminação'!L52</f>
        <v>0</v>
      </c>
      <c r="H25" s="389">
        <f>'5. Medidas a).iii) Iluminação'!M52</f>
        <v>0</v>
      </c>
      <c r="I25" s="389">
        <f>'5. Medidas a).iii) Iluminação'!N52</f>
        <v>0</v>
      </c>
      <c r="J25" s="389">
        <f>'5. Medidas a).iii) Iluminação'!O52</f>
        <v>0</v>
      </c>
      <c r="K25" s="389">
        <f>'5. Medidas a).iii) Iluminação'!P52</f>
        <v>0</v>
      </c>
      <c r="L25" s="389">
        <f>'5. Medidas a).iii) Iluminação'!Q52</f>
        <v>0</v>
      </c>
      <c r="M25" s="389">
        <f>'5. Medidas a).iii) Iluminação'!R52</f>
        <v>0</v>
      </c>
      <c r="N25" s="389">
        <f>'5. Medidas a).iii) Iluminação'!S52</f>
        <v>0</v>
      </c>
      <c r="O25" s="389">
        <f>'5. Medidas a).iii) Iluminação'!T52</f>
        <v>0</v>
      </c>
      <c r="P25" s="389">
        <f>'5. Medidas a).iii) Iluminação'!U52</f>
        <v>0</v>
      </c>
      <c r="Q25" s="389">
        <f>'5. Medidas a).iii) Iluminação'!V52</f>
        <v>0</v>
      </c>
      <c r="R25" s="389">
        <f>'5. Medidas a).iii) Iluminação'!W52</f>
        <v>0</v>
      </c>
      <c r="S25" s="389">
        <f>'5. Medidas a).iii) Iluminação'!X52</f>
        <v>0</v>
      </c>
      <c r="T25" s="389">
        <f>'5. Medidas a).iii) Iluminação'!Y52</f>
        <v>0</v>
      </c>
      <c r="U25" s="389">
        <f>'5. Medidas a).iii) Iluminação'!Z52</f>
        <v>0</v>
      </c>
      <c r="V25" s="389">
        <f>'5. Medidas a).iii) Iluminação'!AA52</f>
        <v>0</v>
      </c>
      <c r="W25" s="389">
        <f>'5. Medidas a).iii) Iluminação'!AB52</f>
        <v>0</v>
      </c>
      <c r="X25" s="389">
        <f>'5. Medidas a).iii) Iluminação'!AC52</f>
        <v>0</v>
      </c>
      <c r="Y25" s="389">
        <f>'5. Medidas a).iii) Iluminação'!AD52</f>
        <v>0</v>
      </c>
      <c r="Z25" s="389">
        <f>'5. Medidas a).iii) Iluminação'!AE52</f>
        <v>0</v>
      </c>
      <c r="AA25" s="389">
        <f>'5. Medidas a).iii) Iluminação'!AF52</f>
        <v>0</v>
      </c>
      <c r="AB25" s="389">
        <f>'5. Medidas a).iii) Iluminação'!AG52</f>
        <v>0</v>
      </c>
      <c r="AC25" s="390">
        <f t="shared" si="7"/>
        <v>0</v>
      </c>
    </row>
    <row r="26" spans="2:29" ht="15" x14ac:dyDescent="0.25">
      <c r="B26" s="131"/>
      <c r="C26" s="185" t="s">
        <v>72</v>
      </c>
      <c r="D26" s="388">
        <f>'6. Medidas a).iv)'!I52</f>
        <v>0</v>
      </c>
      <c r="E26" s="389">
        <f>'6. Medidas a).iv)'!J52</f>
        <v>0</v>
      </c>
      <c r="F26" s="389">
        <f>'6. Medidas a).iv)'!K52</f>
        <v>0</v>
      </c>
      <c r="G26" s="389">
        <f>'6. Medidas a).iv)'!L52</f>
        <v>0</v>
      </c>
      <c r="H26" s="389">
        <f>'6. Medidas a).iv)'!M52</f>
        <v>0</v>
      </c>
      <c r="I26" s="389">
        <f>'6. Medidas a).iv)'!N52</f>
        <v>0</v>
      </c>
      <c r="J26" s="389">
        <f>'6. Medidas a).iv)'!O52</f>
        <v>0</v>
      </c>
      <c r="K26" s="389">
        <f>'6. Medidas a).iv)'!P52</f>
        <v>0</v>
      </c>
      <c r="L26" s="389">
        <f>'6. Medidas a).iv)'!Q52</f>
        <v>0</v>
      </c>
      <c r="M26" s="389">
        <f>'6. Medidas a).iv)'!R52</f>
        <v>0</v>
      </c>
      <c r="N26" s="389">
        <f>'6. Medidas a).iv)'!S52</f>
        <v>0</v>
      </c>
      <c r="O26" s="389">
        <f>'6. Medidas a).iv)'!T52</f>
        <v>0</v>
      </c>
      <c r="P26" s="389">
        <f>'6. Medidas a).iv)'!U52</f>
        <v>0</v>
      </c>
      <c r="Q26" s="389">
        <f>'6. Medidas a).iv)'!V52</f>
        <v>0</v>
      </c>
      <c r="R26" s="389">
        <f>'6. Medidas a).iv)'!W52</f>
        <v>0</v>
      </c>
      <c r="S26" s="389">
        <f>'6. Medidas a).iv)'!X52</f>
        <v>0</v>
      </c>
      <c r="T26" s="389">
        <f>'6. Medidas a).iv)'!Y52</f>
        <v>0</v>
      </c>
      <c r="U26" s="389">
        <f>'6. Medidas a).iv)'!Z52</f>
        <v>0</v>
      </c>
      <c r="V26" s="389">
        <f>'6. Medidas a).iv)'!AA52</f>
        <v>0</v>
      </c>
      <c r="W26" s="389">
        <f>'6. Medidas a).iv)'!AB52</f>
        <v>0</v>
      </c>
      <c r="X26" s="389">
        <f>'6. Medidas a).iv)'!AC52</f>
        <v>0</v>
      </c>
      <c r="Y26" s="389">
        <f>'6. Medidas a).iv)'!AD52</f>
        <v>0</v>
      </c>
      <c r="Z26" s="389">
        <f>'6. Medidas a).iv)'!AE52</f>
        <v>0</v>
      </c>
      <c r="AA26" s="389">
        <f>'6. Medidas a).iv)'!AF52</f>
        <v>0</v>
      </c>
      <c r="AB26" s="389">
        <f>'6. Medidas a).iv)'!AG52</f>
        <v>0</v>
      </c>
      <c r="AC26" s="390">
        <f t="shared" si="7"/>
        <v>0</v>
      </c>
    </row>
    <row r="27" spans="2:29" ht="15" x14ac:dyDescent="0.25">
      <c r="B27" s="131"/>
      <c r="C27" s="185" t="s">
        <v>136</v>
      </c>
      <c r="D27" s="388">
        <f>'7. Medidas b).i)'!J52</f>
        <v>0</v>
      </c>
      <c r="E27" s="389">
        <f>'7. Medidas b).i)'!K52</f>
        <v>0</v>
      </c>
      <c r="F27" s="389">
        <f>'7. Medidas b).i)'!L52</f>
        <v>0</v>
      </c>
      <c r="G27" s="389">
        <f>'7. Medidas b).i)'!M52</f>
        <v>0</v>
      </c>
      <c r="H27" s="389">
        <f>'7. Medidas b).i)'!N52</f>
        <v>0</v>
      </c>
      <c r="I27" s="389">
        <f>'7. Medidas b).i)'!O52</f>
        <v>0</v>
      </c>
      <c r="J27" s="389">
        <f>'7. Medidas b).i)'!P52</f>
        <v>0</v>
      </c>
      <c r="K27" s="389">
        <f>'7. Medidas b).i)'!Q52</f>
        <v>0</v>
      </c>
      <c r="L27" s="389">
        <f>'7. Medidas b).i)'!R52</f>
        <v>0</v>
      </c>
      <c r="M27" s="389">
        <f>'7. Medidas b).i)'!S52</f>
        <v>0</v>
      </c>
      <c r="N27" s="389">
        <f>'7. Medidas b).i)'!T52</f>
        <v>0</v>
      </c>
      <c r="O27" s="389">
        <f>'7. Medidas b).i)'!U52</f>
        <v>0</v>
      </c>
      <c r="P27" s="389">
        <f>'7. Medidas b).i)'!V52</f>
        <v>0</v>
      </c>
      <c r="Q27" s="389">
        <f>'7. Medidas b).i)'!W52</f>
        <v>0</v>
      </c>
      <c r="R27" s="389">
        <f>'7. Medidas b).i)'!X52</f>
        <v>0</v>
      </c>
      <c r="S27" s="389">
        <f>'7. Medidas b).i)'!Y52</f>
        <v>0</v>
      </c>
      <c r="T27" s="389">
        <f>'7. Medidas b).i)'!Z52</f>
        <v>0</v>
      </c>
      <c r="U27" s="389">
        <f>'7. Medidas b).i)'!AA52</f>
        <v>0</v>
      </c>
      <c r="V27" s="389">
        <f>'7. Medidas b).i)'!AB52</f>
        <v>0</v>
      </c>
      <c r="W27" s="389">
        <f>'7. Medidas b).i)'!AC52</f>
        <v>0</v>
      </c>
      <c r="X27" s="389">
        <f>'7. Medidas b).i)'!AD52</f>
        <v>0</v>
      </c>
      <c r="Y27" s="389">
        <f>'7. Medidas b).i)'!AE52</f>
        <v>0</v>
      </c>
      <c r="Z27" s="389">
        <f>'7. Medidas b).i)'!AF52</f>
        <v>0</v>
      </c>
      <c r="AA27" s="389">
        <f>'7. Medidas b).i)'!AG52</f>
        <v>0</v>
      </c>
      <c r="AB27" s="389">
        <f>'7. Medidas b).i)'!AH52</f>
        <v>0</v>
      </c>
      <c r="AC27" s="390">
        <f t="shared" si="7"/>
        <v>0</v>
      </c>
    </row>
    <row r="28" spans="2:29" ht="15" x14ac:dyDescent="0.25">
      <c r="B28" s="131"/>
      <c r="C28" s="185" t="s">
        <v>137</v>
      </c>
      <c r="D28" s="388">
        <f>'8. Medidas b).ii)'!I52</f>
        <v>0</v>
      </c>
      <c r="E28" s="389">
        <f>'8. Medidas b).ii)'!J52</f>
        <v>0</v>
      </c>
      <c r="F28" s="389">
        <f>'8. Medidas b).ii)'!K52</f>
        <v>0</v>
      </c>
      <c r="G28" s="389">
        <f>'8. Medidas b).ii)'!L52</f>
        <v>0</v>
      </c>
      <c r="H28" s="389">
        <f>'8. Medidas b).ii)'!M52</f>
        <v>0</v>
      </c>
      <c r="I28" s="389">
        <f>'8. Medidas b).ii)'!N52</f>
        <v>0</v>
      </c>
      <c r="J28" s="389">
        <f>'8. Medidas b).ii)'!O52</f>
        <v>0</v>
      </c>
      <c r="K28" s="389">
        <f>'8. Medidas b).ii)'!P52</f>
        <v>0</v>
      </c>
      <c r="L28" s="389">
        <f>'8. Medidas b).ii)'!Q52</f>
        <v>0</v>
      </c>
      <c r="M28" s="389">
        <f>'8. Medidas b).ii)'!R52</f>
        <v>0</v>
      </c>
      <c r="N28" s="389">
        <f>'8. Medidas b).ii)'!S52</f>
        <v>0</v>
      </c>
      <c r="O28" s="389">
        <f>'8. Medidas b).ii)'!T52</f>
        <v>0</v>
      </c>
      <c r="P28" s="389">
        <f>'8. Medidas b).ii)'!U52</f>
        <v>0</v>
      </c>
      <c r="Q28" s="389">
        <f>'8. Medidas b).ii)'!V52</f>
        <v>0</v>
      </c>
      <c r="R28" s="389">
        <f>'8. Medidas b).ii)'!W52</f>
        <v>0</v>
      </c>
      <c r="S28" s="389">
        <f>'8. Medidas b).ii)'!X52</f>
        <v>0</v>
      </c>
      <c r="T28" s="389">
        <f>'8. Medidas b).ii)'!Y52</f>
        <v>0</v>
      </c>
      <c r="U28" s="389">
        <f>'8. Medidas b).ii)'!Z52</f>
        <v>0</v>
      </c>
      <c r="V28" s="389">
        <f>'8. Medidas b).ii)'!AA52</f>
        <v>0</v>
      </c>
      <c r="W28" s="389">
        <f>'8. Medidas b).ii)'!AB52</f>
        <v>0</v>
      </c>
      <c r="X28" s="389">
        <f>'8. Medidas b).ii)'!AC52</f>
        <v>0</v>
      </c>
      <c r="Y28" s="389">
        <f>'8. Medidas b).ii)'!AD52</f>
        <v>0</v>
      </c>
      <c r="Z28" s="389">
        <f>'8. Medidas b).ii)'!AE52</f>
        <v>0</v>
      </c>
      <c r="AA28" s="389">
        <f>'8. Medidas b).ii)'!AF52</f>
        <v>0</v>
      </c>
      <c r="AB28" s="389">
        <f>'8. Medidas b).ii)'!AG52</f>
        <v>0</v>
      </c>
      <c r="AC28" s="390">
        <f t="shared" si="7"/>
        <v>0</v>
      </c>
    </row>
    <row r="29" spans="2:29" ht="15" x14ac:dyDescent="0.25">
      <c r="B29" s="131"/>
      <c r="C29" s="185" t="s">
        <v>327</v>
      </c>
      <c r="D29" s="388">
        <f>'9. Medidas c)'!J67</f>
        <v>0</v>
      </c>
      <c r="E29" s="389">
        <f>'9. Medidas c)'!K67</f>
        <v>0</v>
      </c>
      <c r="F29" s="389">
        <f>'9. Medidas c)'!L67</f>
        <v>0</v>
      </c>
      <c r="G29" s="389">
        <f>'9. Medidas c)'!M67</f>
        <v>0</v>
      </c>
      <c r="H29" s="389">
        <f>'9. Medidas c)'!N67</f>
        <v>0</v>
      </c>
      <c r="I29" s="389">
        <f>'9. Medidas c)'!O67</f>
        <v>0</v>
      </c>
      <c r="J29" s="389">
        <f>'9. Medidas c)'!P67</f>
        <v>0</v>
      </c>
      <c r="K29" s="389">
        <f>'9. Medidas c)'!Q67</f>
        <v>0</v>
      </c>
      <c r="L29" s="389">
        <f>'9. Medidas c)'!R67</f>
        <v>0</v>
      </c>
      <c r="M29" s="389">
        <f>'9. Medidas c)'!S67</f>
        <v>0</v>
      </c>
      <c r="N29" s="389">
        <f>'9. Medidas c)'!T67</f>
        <v>0</v>
      </c>
      <c r="O29" s="389">
        <f>'9. Medidas c)'!U67</f>
        <v>0</v>
      </c>
      <c r="P29" s="389">
        <f>'9. Medidas c)'!V67</f>
        <v>0</v>
      </c>
      <c r="Q29" s="389">
        <f>'9. Medidas c)'!W67</f>
        <v>0</v>
      </c>
      <c r="R29" s="389">
        <f>'9. Medidas c)'!X67</f>
        <v>0</v>
      </c>
      <c r="S29" s="389">
        <f>'9. Medidas c)'!Y67</f>
        <v>0</v>
      </c>
      <c r="T29" s="389">
        <f>'9. Medidas c)'!Z67</f>
        <v>0</v>
      </c>
      <c r="U29" s="389">
        <f>'9. Medidas c)'!AA67</f>
        <v>0</v>
      </c>
      <c r="V29" s="389">
        <f>'9. Medidas c)'!AB67</f>
        <v>0</v>
      </c>
      <c r="W29" s="389">
        <f>'9. Medidas c)'!AC67</f>
        <v>0</v>
      </c>
      <c r="X29" s="389">
        <f>'9. Medidas c)'!AD67</f>
        <v>0</v>
      </c>
      <c r="Y29" s="389">
        <f>'9. Medidas c)'!AE67</f>
        <v>0</v>
      </c>
      <c r="Z29" s="389">
        <f>'9. Medidas c)'!AF67</f>
        <v>0</v>
      </c>
      <c r="AA29" s="389">
        <f>'9. Medidas c)'!AG67</f>
        <v>0</v>
      </c>
      <c r="AB29" s="389">
        <f>'9. Medidas c)'!AH67</f>
        <v>0</v>
      </c>
      <c r="AC29" s="390">
        <f t="shared" si="7"/>
        <v>0</v>
      </c>
    </row>
    <row r="30" spans="2:29" ht="15" thickBot="1" x14ac:dyDescent="0.35">
      <c r="B30" s="131"/>
      <c r="C30" s="191" t="s">
        <v>198</v>
      </c>
      <c r="D30" s="391">
        <f>SUM(D22:D29)</f>
        <v>0</v>
      </c>
      <c r="E30" s="392">
        <f t="shared" ref="E30:AB30" si="8">SUM(E22:E29)</f>
        <v>0</v>
      </c>
      <c r="F30" s="392">
        <f t="shared" si="8"/>
        <v>0</v>
      </c>
      <c r="G30" s="392">
        <f t="shared" si="8"/>
        <v>0</v>
      </c>
      <c r="H30" s="392">
        <f t="shared" si="8"/>
        <v>0</v>
      </c>
      <c r="I30" s="392">
        <f t="shared" si="8"/>
        <v>0</v>
      </c>
      <c r="J30" s="392">
        <f t="shared" si="8"/>
        <v>0</v>
      </c>
      <c r="K30" s="392">
        <f t="shared" si="8"/>
        <v>0</v>
      </c>
      <c r="L30" s="392">
        <f t="shared" si="8"/>
        <v>0</v>
      </c>
      <c r="M30" s="392">
        <f t="shared" si="8"/>
        <v>0</v>
      </c>
      <c r="N30" s="392">
        <f t="shared" si="8"/>
        <v>0</v>
      </c>
      <c r="O30" s="392">
        <f t="shared" si="8"/>
        <v>0</v>
      </c>
      <c r="P30" s="392">
        <f t="shared" si="8"/>
        <v>0</v>
      </c>
      <c r="Q30" s="392">
        <f t="shared" si="8"/>
        <v>0</v>
      </c>
      <c r="R30" s="392">
        <f t="shared" si="8"/>
        <v>0</v>
      </c>
      <c r="S30" s="392">
        <f t="shared" si="8"/>
        <v>0</v>
      </c>
      <c r="T30" s="392">
        <f t="shared" si="8"/>
        <v>0</v>
      </c>
      <c r="U30" s="392">
        <f t="shared" si="8"/>
        <v>0</v>
      </c>
      <c r="V30" s="392">
        <f t="shared" si="8"/>
        <v>0</v>
      </c>
      <c r="W30" s="392">
        <f t="shared" si="8"/>
        <v>0</v>
      </c>
      <c r="X30" s="392">
        <f t="shared" si="8"/>
        <v>0</v>
      </c>
      <c r="Y30" s="392">
        <f t="shared" si="8"/>
        <v>0</v>
      </c>
      <c r="Z30" s="392">
        <f t="shared" si="8"/>
        <v>0</v>
      </c>
      <c r="AA30" s="392">
        <f t="shared" si="8"/>
        <v>0</v>
      </c>
      <c r="AB30" s="392">
        <f t="shared" si="8"/>
        <v>0</v>
      </c>
      <c r="AC30" s="393">
        <f t="shared" ref="AC30" si="9">SUM(AC22:AC28)</f>
        <v>0</v>
      </c>
    </row>
    <row r="31" spans="2:29" ht="15.75" thickBot="1" x14ac:dyDescent="0.3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5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7"/>
    </row>
    <row r="32" spans="2:29" ht="8.25" customHeight="1" x14ac:dyDescent="0.25">
      <c r="B32" s="113"/>
      <c r="C32" s="113"/>
      <c r="D32" s="113"/>
      <c r="E32" s="113"/>
      <c r="F32" s="113"/>
    </row>
    <row r="33" spans="2:11" ht="53.25" customHeight="1" thickBot="1" x14ac:dyDescent="0.35">
      <c r="B33" s="113"/>
      <c r="C33" s="1133" t="s">
        <v>29</v>
      </c>
      <c r="D33" s="1133"/>
      <c r="E33" s="113"/>
      <c r="F33" s="113"/>
    </row>
    <row r="34" spans="2:11" ht="24.75" customHeight="1" x14ac:dyDescent="0.25">
      <c r="B34" s="296"/>
      <c r="C34" s="104"/>
      <c r="D34" s="104"/>
      <c r="E34" s="104"/>
      <c r="F34" s="104"/>
      <c r="G34" s="104"/>
      <c r="H34" s="297"/>
    </row>
    <row r="35" spans="2:11" ht="41.25" customHeight="1" x14ac:dyDescent="0.25">
      <c r="B35" s="298"/>
      <c r="C35" s="1138" t="s">
        <v>226</v>
      </c>
      <c r="D35" s="1138"/>
      <c r="E35" s="1138"/>
      <c r="F35" s="1138"/>
      <c r="G35" s="1138"/>
      <c r="H35" s="299"/>
    </row>
    <row r="36" spans="2:11" ht="24.75" customHeight="1" thickBot="1" x14ac:dyDescent="0.3">
      <c r="B36" s="298"/>
      <c r="C36" s="113"/>
      <c r="D36" s="113"/>
      <c r="E36" s="113"/>
      <c r="F36" s="113"/>
      <c r="G36" s="113"/>
      <c r="H36" s="299"/>
    </row>
    <row r="37" spans="2:11" ht="31.5" customHeight="1" thickBot="1" x14ac:dyDescent="0.3">
      <c r="B37" s="298"/>
      <c r="C37" s="336" t="s">
        <v>461</v>
      </c>
      <c r="D37" s="755">
        <f>'2. Medidas a).i)'!E22+'3. Medidas a).ii)'!E22+'4. Medidas a).iii) Sistemas'!E22+'5. Medidas a).iii) Iluminação'!E22+'6. Medidas a).iv)'!E22+'7. Medidas b).i)'!E22+'8. Medidas b).ii)'!E22+'9. Medidas c)'!E27+'10. Medidas d)'!F19+'11. Outras despesas art. 7º'!F23</f>
        <v>0</v>
      </c>
      <c r="E37" s="113"/>
      <c r="F37" s="113"/>
      <c r="G37" s="113"/>
      <c r="H37" s="299"/>
      <c r="I37" s="118"/>
    </row>
    <row r="38" spans="2:11" ht="8.25" customHeight="1" x14ac:dyDescent="0.25">
      <c r="B38" s="298"/>
      <c r="C38" s="113"/>
      <c r="D38" s="113"/>
      <c r="E38" s="113"/>
      <c r="F38" s="113"/>
      <c r="G38" s="113"/>
      <c r="H38" s="299"/>
      <c r="I38" s="118"/>
    </row>
    <row r="39" spans="2:11" ht="16.5" customHeight="1" thickBot="1" x14ac:dyDescent="0.3">
      <c r="B39" s="298"/>
      <c r="C39" s="113" t="s">
        <v>73</v>
      </c>
      <c r="D39" s="113"/>
      <c r="E39" s="113"/>
      <c r="F39" s="113"/>
      <c r="G39" s="113"/>
      <c r="H39" s="299"/>
      <c r="I39" s="118"/>
    </row>
    <row r="40" spans="2:11" ht="15" x14ac:dyDescent="0.25">
      <c r="B40" s="298"/>
      <c r="C40" s="287" t="s">
        <v>70</v>
      </c>
      <c r="D40" s="750">
        <f>'2. Medidas a).i)'!E23</f>
        <v>0</v>
      </c>
      <c r="E40" s="113"/>
      <c r="F40" s="113"/>
      <c r="G40" s="113"/>
      <c r="H40" s="299"/>
      <c r="I40" s="118"/>
    </row>
    <row r="41" spans="2:11" ht="15" x14ac:dyDescent="0.25">
      <c r="B41" s="298"/>
      <c r="C41" s="288" t="s">
        <v>71</v>
      </c>
      <c r="D41" s="751">
        <f>'3. Medidas a).ii)'!E23</f>
        <v>0</v>
      </c>
      <c r="E41" s="214"/>
      <c r="F41" s="113"/>
      <c r="G41" s="113"/>
      <c r="H41" s="299"/>
      <c r="I41" s="118"/>
    </row>
    <row r="42" spans="2:11" ht="15" x14ac:dyDescent="0.25">
      <c r="B42" s="298"/>
      <c r="C42" s="288" t="s">
        <v>325</v>
      </c>
      <c r="D42" s="751">
        <f>'4. Medidas a).iii) Sistemas'!E23</f>
        <v>0</v>
      </c>
      <c r="E42" s="113"/>
      <c r="F42" s="113"/>
      <c r="G42" s="113"/>
      <c r="H42" s="299"/>
      <c r="I42" s="118"/>
    </row>
    <row r="43" spans="2:11" x14ac:dyDescent="0.3">
      <c r="B43" s="298"/>
      <c r="C43" s="288" t="s">
        <v>328</v>
      </c>
      <c r="D43" s="751">
        <f>'5. Medidas a).iii) Iluminação'!E23</f>
        <v>0</v>
      </c>
      <c r="E43" s="113"/>
      <c r="F43" s="113"/>
      <c r="G43" s="113"/>
      <c r="H43" s="299"/>
      <c r="I43" s="118"/>
    </row>
    <row r="44" spans="2:11" ht="15" x14ac:dyDescent="0.25">
      <c r="B44" s="298"/>
      <c r="C44" s="288" t="s">
        <v>72</v>
      </c>
      <c r="D44" s="752">
        <f>'6. Medidas a).iv)'!E23</f>
        <v>0</v>
      </c>
      <c r="E44" s="113"/>
      <c r="F44" s="113"/>
      <c r="G44" s="113"/>
      <c r="H44" s="299"/>
      <c r="I44" s="118"/>
    </row>
    <row r="45" spans="2:11" s="143" customFormat="1" ht="15" x14ac:dyDescent="0.25">
      <c r="B45" s="147"/>
      <c r="C45" s="289" t="s">
        <v>136</v>
      </c>
      <c r="D45" s="753">
        <f>'7. Medidas b).i)'!E23</f>
        <v>0</v>
      </c>
      <c r="E45" s="146"/>
      <c r="F45" s="146"/>
      <c r="G45" s="146"/>
      <c r="H45" s="299"/>
      <c r="I45" s="118"/>
      <c r="J45" s="174"/>
      <c r="K45" s="174"/>
    </row>
    <row r="46" spans="2:11" s="143" customFormat="1" ht="15" x14ac:dyDescent="0.25">
      <c r="B46" s="147"/>
      <c r="C46" s="371" t="s">
        <v>137</v>
      </c>
      <c r="D46" s="753">
        <f>'8. Medidas b).ii)'!E24</f>
        <v>0</v>
      </c>
      <c r="E46" s="146"/>
      <c r="F46" s="146"/>
      <c r="G46" s="146"/>
      <c r="H46" s="299"/>
      <c r="I46" s="118"/>
      <c r="J46" s="174"/>
      <c r="K46" s="174"/>
    </row>
    <row r="47" spans="2:11" s="143" customFormat="1" ht="19.5" customHeight="1" thickBot="1" x14ac:dyDescent="0.3">
      <c r="B47" s="147"/>
      <c r="C47" s="290" t="s">
        <v>74</v>
      </c>
      <c r="D47" s="754">
        <f>'9. Medidas c)'!E28</f>
        <v>0</v>
      </c>
      <c r="E47" s="146"/>
      <c r="F47" s="146"/>
      <c r="G47" s="146"/>
      <c r="H47" s="299"/>
      <c r="I47" s="118"/>
      <c r="J47" s="174"/>
      <c r="K47" s="174"/>
    </row>
    <row r="48" spans="2:11" s="143" customFormat="1" ht="19.5" customHeight="1" thickBot="1" x14ac:dyDescent="0.3">
      <c r="B48" s="147"/>
      <c r="C48" s="290" t="s">
        <v>329</v>
      </c>
      <c r="D48" s="754">
        <f>'10. Medidas d)'!F20</f>
        <v>0</v>
      </c>
      <c r="E48" s="146"/>
      <c r="F48" s="146"/>
      <c r="G48" s="146"/>
      <c r="H48" s="299"/>
      <c r="I48" s="118"/>
      <c r="J48" s="174"/>
      <c r="K48" s="174"/>
    </row>
    <row r="49" spans="2:11" s="143" customFormat="1" ht="35.25" customHeight="1" thickBot="1" x14ac:dyDescent="0.3">
      <c r="B49" s="147"/>
      <c r="C49" s="436" t="s">
        <v>330</v>
      </c>
      <c r="D49" s="755">
        <f>SUM(D40:D48)</f>
        <v>0</v>
      </c>
      <c r="E49" s="146"/>
      <c r="F49" s="146"/>
      <c r="G49" s="146"/>
      <c r="H49" s="299"/>
      <c r="I49" s="118"/>
      <c r="J49" s="174"/>
      <c r="K49" s="174"/>
    </row>
    <row r="50" spans="2:11" s="143" customFormat="1" ht="64.5" customHeight="1" thickBot="1" x14ac:dyDescent="0.35">
      <c r="B50" s="147"/>
      <c r="C50" s="207" t="s">
        <v>158</v>
      </c>
      <c r="D50" s="756">
        <f>'11. Outras despesas art. 7º'!F24</f>
        <v>0</v>
      </c>
      <c r="E50" s="1139" t="s">
        <v>452</v>
      </c>
      <c r="F50" s="1140"/>
      <c r="G50" s="1140"/>
      <c r="H50" s="1141"/>
      <c r="I50" s="383"/>
    </row>
    <row r="51" spans="2:11" s="143" customFormat="1" ht="43.5" customHeight="1" thickBot="1" x14ac:dyDescent="0.3">
      <c r="B51" s="147"/>
      <c r="C51" s="286" t="s">
        <v>154</v>
      </c>
      <c r="D51" s="757">
        <f>ROUND(D49+D50,2)</f>
        <v>0</v>
      </c>
      <c r="E51" s="146"/>
      <c r="F51" s="146"/>
      <c r="G51" s="146"/>
      <c r="H51" s="299"/>
      <c r="I51" s="118"/>
      <c r="J51" s="174"/>
      <c r="K51" s="174"/>
    </row>
    <row r="52" spans="2:11" s="143" customFormat="1" ht="18" customHeight="1" thickBot="1" x14ac:dyDescent="0.3">
      <c r="B52" s="300"/>
      <c r="C52" s="246"/>
      <c r="D52" s="246"/>
      <c r="E52" s="246"/>
      <c r="F52" s="246"/>
      <c r="G52" s="246"/>
      <c r="H52" s="137"/>
      <c r="I52" s="118"/>
      <c r="J52" s="174"/>
      <c r="K52" s="174"/>
    </row>
    <row r="53" spans="2:11" s="143" customFormat="1" ht="18" customHeight="1" x14ac:dyDescent="0.25">
      <c r="B53" s="301"/>
      <c r="C53" s="302"/>
      <c r="D53" s="302"/>
      <c r="E53" s="302"/>
      <c r="F53" s="302"/>
      <c r="G53" s="302"/>
      <c r="H53" s="297"/>
      <c r="I53" s="118"/>
      <c r="J53" s="174"/>
      <c r="K53" s="174"/>
    </row>
    <row r="54" spans="2:11" s="143" customFormat="1" ht="31.5" customHeight="1" x14ac:dyDescent="0.25">
      <c r="B54" s="147"/>
      <c r="C54" s="1129" t="s">
        <v>225</v>
      </c>
      <c r="D54" s="1129"/>
      <c r="E54" s="1129"/>
      <c r="F54" s="1129"/>
      <c r="G54" s="1129"/>
      <c r="H54" s="299"/>
      <c r="I54" s="118"/>
      <c r="J54" s="174"/>
      <c r="K54" s="174"/>
    </row>
    <row r="55" spans="2:11" s="143" customFormat="1" ht="32.25" customHeight="1" thickBot="1" x14ac:dyDescent="0.3">
      <c r="B55" s="147"/>
      <c r="C55" s="377"/>
      <c r="D55" s="377"/>
      <c r="E55" s="377"/>
      <c r="F55" s="377"/>
      <c r="G55" s="377"/>
      <c r="H55" s="299"/>
      <c r="I55" s="118"/>
      <c r="J55" s="174"/>
      <c r="K55" s="174"/>
    </row>
    <row r="56" spans="2:11" s="143" customFormat="1" ht="48" customHeight="1" thickBot="1" x14ac:dyDescent="0.35">
      <c r="B56" s="147"/>
      <c r="C56" s="113"/>
      <c r="E56" s="740" t="s">
        <v>344</v>
      </c>
      <c r="F56" s="741" t="s">
        <v>429</v>
      </c>
      <c r="G56" s="741" t="s">
        <v>428</v>
      </c>
      <c r="H56" s="299"/>
      <c r="I56" s="118"/>
      <c r="J56" s="174"/>
      <c r="K56" s="174"/>
    </row>
    <row r="57" spans="2:11" s="143" customFormat="1" ht="69.75" customHeight="1" thickBot="1" x14ac:dyDescent="0.35">
      <c r="B57" s="147"/>
      <c r="C57" s="1155" t="s">
        <v>377</v>
      </c>
      <c r="D57" s="1156"/>
      <c r="E57" s="713"/>
      <c r="F57" s="581">
        <f>IF(E57="",0,VLOOKUP(E57,'16. Fatores de conversão'!C20:D24,2,FALSE))</f>
        <v>0</v>
      </c>
      <c r="G57" s="714"/>
      <c r="H57" s="299"/>
      <c r="I57" s="118"/>
      <c r="J57" s="174"/>
      <c r="K57" s="174"/>
    </row>
    <row r="58" spans="2:11" s="143" customFormat="1" ht="15" x14ac:dyDescent="0.25">
      <c r="B58" s="147"/>
      <c r="C58" s="14"/>
      <c r="D58" s="146"/>
      <c r="E58" s="146"/>
      <c r="F58" s="589">
        <f>IF(E57="",0,VLOOKUP(E57,'16. Fatores de conversão'!A20:B24,2,FALSE))</f>
        <v>0</v>
      </c>
      <c r="G58" s="146"/>
      <c r="H58" s="303"/>
      <c r="J58" s="174"/>
      <c r="K58" s="174"/>
    </row>
    <row r="59" spans="2:11" s="143" customFormat="1" ht="34.5" customHeight="1" thickBot="1" x14ac:dyDescent="0.35">
      <c r="B59" s="147"/>
      <c r="C59" s="1137" t="s">
        <v>227</v>
      </c>
      <c r="D59" s="1137"/>
      <c r="E59" s="1136" t="s">
        <v>228</v>
      </c>
      <c r="F59" s="1136"/>
      <c r="G59" s="1136"/>
      <c r="H59" s="299"/>
      <c r="I59" s="118"/>
      <c r="J59" s="174"/>
      <c r="K59" s="174"/>
    </row>
    <row r="60" spans="2:11" s="143" customFormat="1" ht="34.5" customHeight="1" thickBot="1" x14ac:dyDescent="0.35">
      <c r="B60" s="147"/>
      <c r="C60" s="285" t="s">
        <v>229</v>
      </c>
      <c r="D60" s="742">
        <f>IF(D78="Projeto Não Elegível!",0,ROUND((D51-D48)*F57,2))</f>
        <v>0</v>
      </c>
      <c r="E60" s="1134" t="s">
        <v>230</v>
      </c>
      <c r="F60" s="1135"/>
      <c r="G60" s="743">
        <f>IF(G57="",0,IF(D62&gt;G57,G57-D61,D60))</f>
        <v>0</v>
      </c>
      <c r="H60" s="299"/>
      <c r="I60" s="118"/>
      <c r="J60" s="174"/>
      <c r="K60" s="174"/>
    </row>
    <row r="61" spans="2:11" s="143" customFormat="1" ht="34.5" customHeight="1" thickBot="1" x14ac:dyDescent="0.35">
      <c r="B61" s="147"/>
      <c r="C61" s="285" t="s">
        <v>169</v>
      </c>
      <c r="D61" s="742">
        <f>(ROUND(D48*F58,2))</f>
        <v>0</v>
      </c>
      <c r="E61" s="1134" t="s">
        <v>169</v>
      </c>
      <c r="F61" s="1135"/>
      <c r="G61" s="743">
        <f>IF(D61&gt;G57,G57,D61)</f>
        <v>0</v>
      </c>
      <c r="H61" s="299"/>
      <c r="I61" s="118"/>
      <c r="J61" s="174"/>
      <c r="K61" s="174"/>
    </row>
    <row r="62" spans="2:11" s="143" customFormat="1" ht="34.5" customHeight="1" thickBot="1" x14ac:dyDescent="0.3">
      <c r="B62" s="147"/>
      <c r="C62" s="285" t="s">
        <v>243</v>
      </c>
      <c r="D62" s="742">
        <f>(D60+D61)</f>
        <v>0</v>
      </c>
      <c r="E62" s="1134" t="s">
        <v>85</v>
      </c>
      <c r="F62" s="1135"/>
      <c r="G62" s="743">
        <f>IF(G57=0,0,G60+G61)</f>
        <v>0</v>
      </c>
      <c r="H62" s="304"/>
      <c r="I62" s="118"/>
      <c r="J62" s="174"/>
      <c r="K62" s="174"/>
    </row>
    <row r="63" spans="2:11" s="143" customFormat="1" ht="34.5" customHeight="1" thickBot="1" x14ac:dyDescent="0.35">
      <c r="B63" s="300"/>
      <c r="C63" s="305"/>
      <c r="D63" s="305"/>
      <c r="E63" s="305"/>
      <c r="F63" s="305"/>
      <c r="G63" s="305"/>
      <c r="H63" s="306"/>
      <c r="I63" s="291"/>
      <c r="J63" s="291"/>
      <c r="K63" s="174"/>
    </row>
    <row r="64" spans="2:11" s="143" customFormat="1" ht="34.5" customHeight="1" x14ac:dyDescent="0.3">
      <c r="B64" s="301"/>
      <c r="C64" s="307"/>
      <c r="D64" s="307"/>
      <c r="E64" s="307"/>
      <c r="F64" s="307"/>
      <c r="G64" s="307"/>
      <c r="H64" s="308"/>
      <c r="I64" s="291"/>
      <c r="J64" s="291"/>
      <c r="K64" s="174"/>
    </row>
    <row r="65" spans="2:15" s="143" customFormat="1" ht="34.5" customHeight="1" x14ac:dyDescent="0.3">
      <c r="B65" s="147"/>
      <c r="C65" s="1154" t="s">
        <v>231</v>
      </c>
      <c r="D65" s="1154"/>
      <c r="E65" s="1154"/>
      <c r="F65" s="1154"/>
      <c r="G65" s="1154"/>
      <c r="H65" s="309"/>
      <c r="I65" s="291"/>
      <c r="J65" s="291"/>
      <c r="K65" s="174"/>
    </row>
    <row r="66" spans="2:15" s="143" customFormat="1" ht="43.5" customHeight="1" thickBot="1" x14ac:dyDescent="0.35">
      <c r="B66" s="147"/>
      <c r="C66" s="1151" t="s">
        <v>161</v>
      </c>
      <c r="D66" s="1151"/>
      <c r="E66" s="1151" t="s">
        <v>162</v>
      </c>
      <c r="F66" s="1151"/>
      <c r="G66" s="1151"/>
      <c r="H66" s="299"/>
      <c r="I66" s="118"/>
      <c r="J66" s="174"/>
      <c r="K66" s="174"/>
    </row>
    <row r="67" spans="2:15" s="143" customFormat="1" ht="51.75" customHeight="1" thickBot="1" x14ac:dyDescent="0.35">
      <c r="B67" s="147"/>
      <c r="C67" s="286" t="s">
        <v>159</v>
      </c>
      <c r="D67" s="758">
        <f>IF(MAX(AD6:AD13)&gt;25,25,MAX(AD6:AD13))</f>
        <v>0</v>
      </c>
      <c r="E67" s="1157" t="s">
        <v>345</v>
      </c>
      <c r="F67" s="1158"/>
      <c r="G67" s="760">
        <f>IF(D68=0,0,IF(ROUND(G60/(D68*0.7),0)&gt;35,35,(ROUND(G60/(D68*0.7),0))))</f>
        <v>0</v>
      </c>
      <c r="H67" s="299"/>
      <c r="I67" s="118"/>
      <c r="J67" s="174"/>
      <c r="K67" s="174"/>
    </row>
    <row r="68" spans="2:15" s="143" customFormat="1" ht="53.25" customHeight="1" thickBot="1" x14ac:dyDescent="0.35">
      <c r="B68" s="147"/>
      <c r="C68" s="286" t="s">
        <v>160</v>
      </c>
      <c r="D68" s="759">
        <f>IF(AC14=0,0,ROUND(AC14/D67,2))</f>
        <v>0</v>
      </c>
      <c r="E68" s="1152" t="s">
        <v>346</v>
      </c>
      <c r="F68" s="1153"/>
      <c r="G68" s="761">
        <f>IF(OR(G57="",G67=0),0,IF(ROUND(G60/G67,2)&lt;ROUND(D68*0.7,2),ROUND(D68*0.7,2),(ROUND(G60/G67,2))))</f>
        <v>0</v>
      </c>
      <c r="H68" s="299"/>
      <c r="I68" s="118"/>
      <c r="J68" s="174"/>
      <c r="K68" s="174"/>
    </row>
    <row r="69" spans="2:15" ht="38.25" customHeight="1" thickBot="1" x14ac:dyDescent="0.35">
      <c r="B69" s="298"/>
      <c r="C69" s="113" t="str">
        <f>IF(G68&gt;D68,"Não elegivel; para o periodo máximo de reembolso de 35 anos, o somatorio das poupanças médias anuais não permite reembolsar o valor do apoio a conceder ","")</f>
        <v/>
      </c>
      <c r="D69" s="113"/>
      <c r="E69" s="113"/>
      <c r="F69" s="113"/>
      <c r="G69" s="113"/>
      <c r="H69" s="310"/>
      <c r="I69" s="209"/>
      <c r="J69" s="209"/>
      <c r="K69" s="209"/>
      <c r="L69" s="210"/>
      <c r="M69" s="211"/>
      <c r="N69" s="212"/>
      <c r="O69" s="212"/>
    </row>
    <row r="70" spans="2:15" ht="40.5" customHeight="1" thickBot="1" x14ac:dyDescent="0.35">
      <c r="B70" s="298"/>
      <c r="C70" s="1149" t="s">
        <v>166</v>
      </c>
      <c r="D70" s="1150"/>
      <c r="E70" s="1142" t="s">
        <v>163</v>
      </c>
      <c r="F70" s="1143"/>
      <c r="G70" s="763">
        <f>(ROUND(G68/2,2))</f>
        <v>0</v>
      </c>
      <c r="H70" s="299"/>
      <c r="I70" s="314"/>
      <c r="J70" s="215"/>
      <c r="K70" s="215"/>
      <c r="L70" s="213"/>
      <c r="M70" s="212"/>
      <c r="N70" s="212"/>
      <c r="O70" s="212"/>
    </row>
    <row r="71" spans="2:15" ht="40.5" customHeight="1" thickBot="1" x14ac:dyDescent="0.35">
      <c r="B71" s="298"/>
      <c r="C71" s="208" t="s">
        <v>165</v>
      </c>
      <c r="D71" s="762">
        <f>G67*2</f>
        <v>0</v>
      </c>
      <c r="E71" s="1142" t="s">
        <v>164</v>
      </c>
      <c r="F71" s="1143"/>
      <c r="G71" s="763">
        <f>G60-(G70*(D71-1))</f>
        <v>0</v>
      </c>
      <c r="H71" s="299"/>
      <c r="I71" s="215"/>
      <c r="J71" s="215"/>
      <c r="K71" s="215"/>
      <c r="L71" s="213"/>
      <c r="M71" s="212"/>
      <c r="N71" s="212"/>
      <c r="O71" s="212"/>
    </row>
    <row r="72" spans="2:15" ht="30" customHeight="1" thickBot="1" x14ac:dyDescent="0.35">
      <c r="B72" s="298"/>
      <c r="C72" s="113"/>
      <c r="D72" s="113"/>
      <c r="E72" s="1144" t="s">
        <v>241</v>
      </c>
      <c r="F72" s="1145"/>
      <c r="G72" s="764">
        <f>IF(D68=0,0,G68/D68)</f>
        <v>0</v>
      </c>
      <c r="H72" s="299"/>
      <c r="I72" s="215"/>
      <c r="J72" s="215"/>
      <c r="K72" s="215"/>
      <c r="L72" s="213"/>
      <c r="M72" s="212"/>
      <c r="N72" s="212"/>
      <c r="O72" s="212"/>
    </row>
    <row r="73" spans="2:15" ht="30" customHeight="1" thickBot="1" x14ac:dyDescent="0.35">
      <c r="B73" s="311"/>
      <c r="C73" s="136"/>
      <c r="D73" s="136"/>
      <c r="E73" s="312"/>
      <c r="F73" s="136"/>
      <c r="G73" s="136"/>
      <c r="H73" s="137"/>
      <c r="I73" s="215"/>
      <c r="J73" s="215"/>
      <c r="K73" s="215"/>
      <c r="L73" s="213"/>
      <c r="M73" s="212"/>
      <c r="N73" s="212"/>
      <c r="O73" s="212"/>
    </row>
    <row r="74" spans="2:15" ht="15" customHeight="1" x14ac:dyDescent="0.3">
      <c r="B74" s="298"/>
      <c r="C74" s="113"/>
      <c r="D74" s="113"/>
      <c r="E74" s="557"/>
      <c r="F74" s="113"/>
      <c r="G74" s="113"/>
      <c r="H74" s="299"/>
      <c r="I74" s="215"/>
      <c r="J74" s="215"/>
      <c r="K74" s="215"/>
      <c r="L74" s="213"/>
      <c r="M74" s="212"/>
      <c r="N74" s="212"/>
      <c r="O74" s="212"/>
    </row>
    <row r="75" spans="2:15" ht="30" customHeight="1" x14ac:dyDescent="0.3">
      <c r="B75" s="147"/>
      <c r="C75" s="1129" t="s">
        <v>411</v>
      </c>
      <c r="D75" s="1129"/>
      <c r="E75" s="1129"/>
      <c r="F75" s="1129"/>
      <c r="G75" s="1129"/>
      <c r="H75" s="299"/>
      <c r="I75" s="216"/>
      <c r="J75" s="216"/>
      <c r="K75" s="216"/>
      <c r="L75" s="214"/>
      <c r="M75" s="113"/>
      <c r="N75" s="113"/>
      <c r="O75" s="113"/>
    </row>
    <row r="76" spans="2:15" ht="30" customHeight="1" thickBot="1" x14ac:dyDescent="0.35">
      <c r="B76" s="147"/>
      <c r="C76" s="291"/>
      <c r="D76" s="291"/>
      <c r="E76" s="291"/>
      <c r="F76" s="291"/>
      <c r="G76" s="291"/>
      <c r="H76" s="309"/>
    </row>
    <row r="77" spans="2:15" ht="30" customHeight="1" thickBot="1" x14ac:dyDescent="0.35">
      <c r="B77" s="147"/>
      <c r="C77" s="146"/>
      <c r="D77" s="1130" t="s">
        <v>410</v>
      </c>
      <c r="E77" s="1131"/>
      <c r="F77" s="291"/>
      <c r="G77" s="291"/>
      <c r="H77" s="309"/>
    </row>
    <row r="78" spans="2:15" ht="30" customHeight="1" thickBot="1" x14ac:dyDescent="0.35">
      <c r="B78" s="298"/>
      <c r="C78" s="555" t="s">
        <v>409</v>
      </c>
      <c r="D78" s="554" t="str">
        <f>IF(AND('13. Indicadores'!F19=0,'13. Indicadores'!F20=0),"",IF(E78&gt;=30%,"Projeto Elegível","Projeto Não Elegível!"))</f>
        <v/>
      </c>
      <c r="E78" s="765" t="str">
        <f>IF(AND('1. Identificação Ben. Oper.'!D53=0,'1. Identificação Ben. Oper.'!D107=0),"",('13. Indicadores'!F19+'13. Indicadores'!F20)/('1. Identificação Ben. Oper.'!D53+'1. Identificação Ben. Oper.'!D107))</f>
        <v/>
      </c>
      <c r="F78" s="113"/>
      <c r="G78" s="113"/>
      <c r="H78" s="299"/>
    </row>
    <row r="79" spans="2:15" ht="30" customHeight="1" x14ac:dyDescent="0.3">
      <c r="B79" s="298"/>
      <c r="C79" s="284"/>
      <c r="D79" s="113"/>
      <c r="E79" s="597"/>
      <c r="F79" s="113"/>
      <c r="G79" s="113"/>
      <c r="H79" s="299"/>
    </row>
    <row r="80" spans="2:15" ht="30" customHeight="1" thickBot="1" x14ac:dyDescent="0.35">
      <c r="B80" s="311"/>
      <c r="C80" s="136"/>
      <c r="D80" s="136"/>
      <c r="E80" s="136"/>
      <c r="F80" s="136"/>
      <c r="G80" s="136"/>
      <c r="H80" s="137"/>
    </row>
  </sheetData>
  <sheetProtection algorithmName="SHA-512" hashValue="gFok2+toN8jf5NXU96UBzT6uydsZWREltiuX1Vu9vD8RLjmRI4nChKEteECF87gUHXjT1C5lpu4tD4xAOl51hA==" saltValue="sZwOFW7N+kpfwlJuFVBmjA==" spinCount="100000" sheet="1" objects="1" scenarios="1" insertRows="0" selectLockedCells="1"/>
  <mergeCells count="24">
    <mergeCell ref="D2:AC2"/>
    <mergeCell ref="D19:AC19"/>
    <mergeCell ref="C70:D70"/>
    <mergeCell ref="C66:D66"/>
    <mergeCell ref="E68:F68"/>
    <mergeCell ref="C65:G65"/>
    <mergeCell ref="C57:D57"/>
    <mergeCell ref="E67:F67"/>
    <mergeCell ref="E66:G66"/>
    <mergeCell ref="E70:F70"/>
    <mergeCell ref="C75:G75"/>
    <mergeCell ref="D77:E77"/>
    <mergeCell ref="AD4:AD5"/>
    <mergeCell ref="C33:D33"/>
    <mergeCell ref="E60:F60"/>
    <mergeCell ref="E61:F61"/>
    <mergeCell ref="E62:F62"/>
    <mergeCell ref="E59:G59"/>
    <mergeCell ref="C59:D59"/>
    <mergeCell ref="C54:G54"/>
    <mergeCell ref="C35:G35"/>
    <mergeCell ref="E50:H50"/>
    <mergeCell ref="E71:F71"/>
    <mergeCell ref="E72:F72"/>
  </mergeCells>
  <conditionalFormatting sqref="AC16 D15:AB16">
    <cfRule type="cellIs" dxfId="21" priority="9" operator="equal">
      <formula>0</formula>
    </cfRule>
  </conditionalFormatting>
  <conditionalFormatting sqref="D17:AB17">
    <cfRule type="cellIs" dxfId="20" priority="7" operator="equal">
      <formula>0</formula>
    </cfRule>
  </conditionalFormatting>
  <conditionalFormatting sqref="D14:AB14">
    <cfRule type="cellIs" dxfId="19" priority="4" operator="equal">
      <formula>0</formula>
    </cfRule>
  </conditionalFormatting>
  <conditionalFormatting sqref="D18:AB18">
    <cfRule type="cellIs" dxfId="18" priority="3" operator="equal">
      <formula>0</formula>
    </cfRule>
  </conditionalFormatting>
  <conditionalFormatting sqref="D78">
    <cfRule type="containsText" dxfId="17" priority="1" operator="containsText" text="Projeto Não Elegível!">
      <formula>NOT(ISERROR(SEARCH("Projeto Não Elegível!",D78)))</formula>
    </cfRule>
    <cfRule type="containsText" dxfId="16" priority="2" operator="containsText" text="Projeto Elegível">
      <formula>NOT(ISERROR(SEARCH("Projeto Elegível",D78)))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'16. Fatores de conversão'!$C$20:$C$24</xm:f>
          </x14:formula1>
          <xm:sqref>E57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AD80"/>
  <sheetViews>
    <sheetView showGridLines="0" topLeftCell="A57" zoomScaleNormal="100" workbookViewId="0">
      <selection activeCell="G60" sqref="G60"/>
    </sheetView>
  </sheetViews>
  <sheetFormatPr defaultColWidth="9.109375" defaultRowHeight="14.4" x14ac:dyDescent="0.3"/>
  <cols>
    <col min="1" max="1" width="9.109375" style="174"/>
    <col min="2" max="2" width="6.6640625" style="174" customWidth="1"/>
    <col min="3" max="3" width="33.33203125" style="174" customWidth="1"/>
    <col min="4" max="4" width="20.6640625" style="174" customWidth="1"/>
    <col min="5" max="5" width="20.33203125" style="174" customWidth="1"/>
    <col min="6" max="6" width="18.6640625" style="174" customWidth="1"/>
    <col min="7" max="7" width="20.5546875" style="174" customWidth="1"/>
    <col min="8" max="13" width="13.6640625" style="174" customWidth="1"/>
    <col min="14" max="14" width="12.88671875" style="174" customWidth="1"/>
    <col min="15" max="28" width="13.6640625" style="174" customWidth="1"/>
    <col min="29" max="29" width="16.88671875" style="174" customWidth="1"/>
    <col min="30" max="30" width="14" style="174" customWidth="1"/>
    <col min="31" max="16384" width="9.109375" style="174"/>
  </cols>
  <sheetData>
    <row r="1" spans="2:30" ht="15.75" thickBot="1" x14ac:dyDescent="0.3"/>
    <row r="2" spans="2:30" ht="20.25" customHeight="1" thickBot="1" x14ac:dyDescent="0.35">
      <c r="D2" s="1146" t="s">
        <v>156</v>
      </c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7"/>
      <c r="Z2" s="1147"/>
      <c r="AA2" s="1147"/>
      <c r="AB2" s="1147"/>
      <c r="AC2" s="1148"/>
    </row>
    <row r="3" spans="2:30" s="143" customFormat="1" ht="19.5" customHeight="1" thickBot="1" x14ac:dyDescent="0.3">
      <c r="C3" s="174"/>
      <c r="D3" s="101" t="s">
        <v>25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429"/>
    </row>
    <row r="4" spans="2:30" ht="15" thickBot="1" x14ac:dyDescent="0.35">
      <c r="B4" s="103"/>
      <c r="C4" s="175" t="s">
        <v>167</v>
      </c>
      <c r="D4" s="176">
        <v>1</v>
      </c>
      <c r="E4" s="176">
        <v>2</v>
      </c>
      <c r="F4" s="176">
        <v>3</v>
      </c>
      <c r="G4" s="176">
        <v>4</v>
      </c>
      <c r="H4" s="176">
        <v>5</v>
      </c>
      <c r="I4" s="176">
        <v>6</v>
      </c>
      <c r="J4" s="176">
        <v>7</v>
      </c>
      <c r="K4" s="176">
        <v>8</v>
      </c>
      <c r="L4" s="176">
        <v>9</v>
      </c>
      <c r="M4" s="176">
        <v>10</v>
      </c>
      <c r="N4" s="176">
        <v>11</v>
      </c>
      <c r="O4" s="176">
        <v>12</v>
      </c>
      <c r="P4" s="176">
        <v>13</v>
      </c>
      <c r="Q4" s="176">
        <v>14</v>
      </c>
      <c r="R4" s="176">
        <v>15</v>
      </c>
      <c r="S4" s="176">
        <v>16</v>
      </c>
      <c r="T4" s="176">
        <v>17</v>
      </c>
      <c r="U4" s="176">
        <v>18</v>
      </c>
      <c r="V4" s="176">
        <v>19</v>
      </c>
      <c r="W4" s="176">
        <v>20</v>
      </c>
      <c r="X4" s="176">
        <v>21</v>
      </c>
      <c r="Y4" s="176">
        <v>22</v>
      </c>
      <c r="Z4" s="176">
        <v>23</v>
      </c>
      <c r="AA4" s="176">
        <v>24</v>
      </c>
      <c r="AB4" s="176">
        <v>25</v>
      </c>
      <c r="AC4" s="176" t="s">
        <v>53</v>
      </c>
      <c r="AD4" s="1132" t="s">
        <v>155</v>
      </c>
    </row>
    <row r="5" spans="2:30" s="184" customFormat="1" ht="15" customHeight="1" thickBot="1" x14ac:dyDescent="0.35">
      <c r="B5" s="177"/>
      <c r="C5" s="118"/>
      <c r="D5" s="178"/>
      <c r="E5" s="179"/>
      <c r="F5" s="179"/>
      <c r="G5" s="179"/>
      <c r="H5" s="179"/>
      <c r="I5" s="179"/>
      <c r="J5" s="179"/>
      <c r="K5" s="179"/>
      <c r="L5" s="180"/>
      <c r="M5" s="181"/>
      <c r="N5" s="178"/>
      <c r="O5" s="179"/>
      <c r="P5" s="179"/>
      <c r="Q5" s="179"/>
      <c r="R5" s="179"/>
      <c r="S5" s="179"/>
      <c r="T5" s="179"/>
      <c r="U5" s="179"/>
      <c r="V5" s="180"/>
      <c r="W5" s="181"/>
      <c r="X5" s="181"/>
      <c r="Y5" s="181"/>
      <c r="Z5" s="181"/>
      <c r="AA5" s="181"/>
      <c r="AB5" s="182"/>
      <c r="AC5" s="183"/>
      <c r="AD5" s="1132"/>
    </row>
    <row r="6" spans="2:30" ht="15.75" thickBot="1" x14ac:dyDescent="0.3">
      <c r="B6" s="177"/>
      <c r="C6" s="185" t="s">
        <v>70</v>
      </c>
      <c r="D6" s="186">
        <f>'2. Medidas a).i)'!I37</f>
        <v>0</v>
      </c>
      <c r="E6" s="186">
        <f>'2. Medidas a).i)'!J37</f>
        <v>0</v>
      </c>
      <c r="F6" s="186">
        <f>'2. Medidas a).i)'!K37</f>
        <v>0</v>
      </c>
      <c r="G6" s="186">
        <f>'2. Medidas a).i)'!L37</f>
        <v>0</v>
      </c>
      <c r="H6" s="186">
        <f>'2. Medidas a).i)'!M37</f>
        <v>0</v>
      </c>
      <c r="I6" s="186">
        <f>'2. Medidas a).i)'!N37</f>
        <v>0</v>
      </c>
      <c r="J6" s="186">
        <f>'2. Medidas a).i)'!O37</f>
        <v>0</v>
      </c>
      <c r="K6" s="186">
        <f>'2. Medidas a).i)'!P37</f>
        <v>0</v>
      </c>
      <c r="L6" s="186">
        <f>'2. Medidas a).i)'!Q37</f>
        <v>0</v>
      </c>
      <c r="M6" s="186">
        <f>'2. Medidas a).i)'!R37</f>
        <v>0</v>
      </c>
      <c r="N6" s="186">
        <f>'2. Medidas a).i)'!S37</f>
        <v>0</v>
      </c>
      <c r="O6" s="186">
        <f>'2. Medidas a).i)'!T37</f>
        <v>0</v>
      </c>
      <c r="P6" s="186">
        <f>'2. Medidas a).i)'!U37</f>
        <v>0</v>
      </c>
      <c r="Q6" s="186">
        <f>'2. Medidas a).i)'!V37</f>
        <v>0</v>
      </c>
      <c r="R6" s="186">
        <f>'2. Medidas a).i)'!W37</f>
        <v>0</v>
      </c>
      <c r="S6" s="186">
        <f>'2. Medidas a).i)'!X37</f>
        <v>0</v>
      </c>
      <c r="T6" s="186">
        <f>'2. Medidas a).i)'!Y37</f>
        <v>0</v>
      </c>
      <c r="U6" s="186">
        <f>'2. Medidas a).i)'!Z37</f>
        <v>0</v>
      </c>
      <c r="V6" s="186">
        <f>'2. Medidas a).i)'!AA37</f>
        <v>0</v>
      </c>
      <c r="W6" s="186">
        <f>'2. Medidas a).i)'!AB37</f>
        <v>0</v>
      </c>
      <c r="X6" s="186">
        <f>'2. Medidas a).i)'!AC37</f>
        <v>0</v>
      </c>
      <c r="Y6" s="186">
        <f>'2. Medidas a).i)'!AD37</f>
        <v>0</v>
      </c>
      <c r="Z6" s="186">
        <f>'2. Medidas a).i)'!AE37</f>
        <v>0</v>
      </c>
      <c r="AA6" s="186">
        <f>'2. Medidas a).i)'!AF37</f>
        <v>0</v>
      </c>
      <c r="AB6" s="186">
        <f>'2. Medidas a).i)'!AG37</f>
        <v>0</v>
      </c>
      <c r="AC6" s="187">
        <f t="shared" ref="AC6:AC14" si="0">SUM(D6:AB6)</f>
        <v>0</v>
      </c>
      <c r="AD6" s="188">
        <f>COUNTIF(D6:AB6,"&lt;&gt;0")</f>
        <v>0</v>
      </c>
    </row>
    <row r="7" spans="2:30" ht="15.75" thickBot="1" x14ac:dyDescent="0.3">
      <c r="B7" s="177"/>
      <c r="C7" s="185" t="s">
        <v>71</v>
      </c>
      <c r="D7" s="189">
        <f>'3. Medidas a).ii)'!I39</f>
        <v>0</v>
      </c>
      <c r="E7" s="189">
        <f>'3. Medidas a).ii)'!J39</f>
        <v>0</v>
      </c>
      <c r="F7" s="189">
        <f>'3. Medidas a).ii)'!K39</f>
        <v>0</v>
      </c>
      <c r="G7" s="189">
        <f>'3. Medidas a).ii)'!L39</f>
        <v>0</v>
      </c>
      <c r="H7" s="189">
        <f>'3. Medidas a).ii)'!M39</f>
        <v>0</v>
      </c>
      <c r="I7" s="189">
        <f>'3. Medidas a).ii)'!N39</f>
        <v>0</v>
      </c>
      <c r="J7" s="189">
        <f>'3. Medidas a).ii)'!O39</f>
        <v>0</v>
      </c>
      <c r="K7" s="189">
        <f>'3. Medidas a).ii)'!P39</f>
        <v>0</v>
      </c>
      <c r="L7" s="189">
        <f>'3. Medidas a).ii)'!Q39</f>
        <v>0</v>
      </c>
      <c r="M7" s="189">
        <f>'3. Medidas a).ii)'!R39</f>
        <v>0</v>
      </c>
      <c r="N7" s="189">
        <f>'3. Medidas a).ii)'!S39</f>
        <v>0</v>
      </c>
      <c r="O7" s="189">
        <f>'3. Medidas a).ii)'!T39</f>
        <v>0</v>
      </c>
      <c r="P7" s="189">
        <f>'3. Medidas a).ii)'!U39</f>
        <v>0</v>
      </c>
      <c r="Q7" s="189">
        <f>'3. Medidas a).ii)'!V39</f>
        <v>0</v>
      </c>
      <c r="R7" s="189">
        <f>'3. Medidas a).ii)'!W39</f>
        <v>0</v>
      </c>
      <c r="S7" s="189">
        <f>'3. Medidas a).ii)'!X39</f>
        <v>0</v>
      </c>
      <c r="T7" s="189">
        <f>'3. Medidas a).ii)'!Y39</f>
        <v>0</v>
      </c>
      <c r="U7" s="189">
        <f>'3. Medidas a).ii)'!Z39</f>
        <v>0</v>
      </c>
      <c r="V7" s="189">
        <f>'3. Medidas a).ii)'!AA39</f>
        <v>0</v>
      </c>
      <c r="W7" s="189">
        <f>'3. Medidas a).ii)'!AB39</f>
        <v>0</v>
      </c>
      <c r="X7" s="189">
        <f>'3. Medidas a).ii)'!AC39</f>
        <v>0</v>
      </c>
      <c r="Y7" s="189">
        <f>'3. Medidas a).ii)'!AD39</f>
        <v>0</v>
      </c>
      <c r="Z7" s="189">
        <f>'3. Medidas a).ii)'!AE39</f>
        <v>0</v>
      </c>
      <c r="AA7" s="189">
        <f>'3. Medidas a).ii)'!AF39</f>
        <v>0</v>
      </c>
      <c r="AB7" s="189">
        <f>'3. Medidas a).ii)'!AG39</f>
        <v>0</v>
      </c>
      <c r="AC7" s="187">
        <f t="shared" si="0"/>
        <v>0</v>
      </c>
      <c r="AD7" s="188">
        <f t="shared" ref="AD7:AD13" si="1">COUNTIF(D7:AB7,"&lt;&gt;0")</f>
        <v>0</v>
      </c>
    </row>
    <row r="8" spans="2:30" ht="15.75" thickBot="1" x14ac:dyDescent="0.3">
      <c r="B8" s="177"/>
      <c r="C8" s="185" t="s">
        <v>325</v>
      </c>
      <c r="D8" s="186">
        <f>'4. Medidas a).iii) Sistemas'!I38</f>
        <v>0</v>
      </c>
      <c r="E8" s="186">
        <f>'4. Medidas a).iii) Sistemas'!J38</f>
        <v>0</v>
      </c>
      <c r="F8" s="186">
        <f>'4. Medidas a).iii) Sistemas'!K38</f>
        <v>0</v>
      </c>
      <c r="G8" s="186">
        <f>'4. Medidas a).iii) Sistemas'!L38</f>
        <v>0</v>
      </c>
      <c r="H8" s="186">
        <f>'4. Medidas a).iii) Sistemas'!M38</f>
        <v>0</v>
      </c>
      <c r="I8" s="186">
        <f>'4. Medidas a).iii) Sistemas'!N38</f>
        <v>0</v>
      </c>
      <c r="J8" s="186">
        <f>'4. Medidas a).iii) Sistemas'!O38</f>
        <v>0</v>
      </c>
      <c r="K8" s="186">
        <f>'4. Medidas a).iii) Sistemas'!P38</f>
        <v>0</v>
      </c>
      <c r="L8" s="186">
        <f>'4. Medidas a).iii) Sistemas'!Q38</f>
        <v>0</v>
      </c>
      <c r="M8" s="186">
        <f>'4. Medidas a).iii) Sistemas'!R38</f>
        <v>0</v>
      </c>
      <c r="N8" s="186">
        <f>'4. Medidas a).iii) Sistemas'!S38</f>
        <v>0</v>
      </c>
      <c r="O8" s="186">
        <f>'4. Medidas a).iii) Sistemas'!T38</f>
        <v>0</v>
      </c>
      <c r="P8" s="186">
        <f>'4. Medidas a).iii) Sistemas'!U38</f>
        <v>0</v>
      </c>
      <c r="Q8" s="186">
        <f>'4. Medidas a).iii) Sistemas'!V38</f>
        <v>0</v>
      </c>
      <c r="R8" s="186">
        <f>'4. Medidas a).iii) Sistemas'!W38</f>
        <v>0</v>
      </c>
      <c r="S8" s="186">
        <f>'4. Medidas a).iii) Sistemas'!X38</f>
        <v>0</v>
      </c>
      <c r="T8" s="186">
        <f>'4. Medidas a).iii) Sistemas'!Y38</f>
        <v>0</v>
      </c>
      <c r="U8" s="186">
        <f>'4. Medidas a).iii) Sistemas'!Z38</f>
        <v>0</v>
      </c>
      <c r="V8" s="186">
        <f>'4. Medidas a).iii) Sistemas'!AA38</f>
        <v>0</v>
      </c>
      <c r="W8" s="186">
        <f>'4. Medidas a).iii) Sistemas'!AB38</f>
        <v>0</v>
      </c>
      <c r="X8" s="186">
        <f>'4. Medidas a).iii) Sistemas'!AC38</f>
        <v>0</v>
      </c>
      <c r="Y8" s="186">
        <f>'4. Medidas a).iii) Sistemas'!AD38</f>
        <v>0</v>
      </c>
      <c r="Z8" s="186">
        <f>'4. Medidas a).iii) Sistemas'!AE38</f>
        <v>0</v>
      </c>
      <c r="AA8" s="186">
        <f>'4. Medidas a).iii) Sistemas'!AF38</f>
        <v>0</v>
      </c>
      <c r="AB8" s="186">
        <f>'4. Medidas a).iii) Sistemas'!AG38</f>
        <v>0</v>
      </c>
      <c r="AC8" s="187">
        <f t="shared" si="0"/>
        <v>0</v>
      </c>
      <c r="AD8" s="188">
        <f t="shared" si="1"/>
        <v>0</v>
      </c>
    </row>
    <row r="9" spans="2:30" ht="15" thickBot="1" x14ac:dyDescent="0.35">
      <c r="B9" s="177"/>
      <c r="C9" s="185" t="s">
        <v>326</v>
      </c>
      <c r="D9" s="186">
        <f>'5. Medidas a).iii) Iluminação'!I39</f>
        <v>0</v>
      </c>
      <c r="E9" s="186">
        <f>'5. Medidas a).iii) Iluminação'!J39</f>
        <v>0</v>
      </c>
      <c r="F9" s="186">
        <f>'5. Medidas a).iii) Iluminação'!K39</f>
        <v>0</v>
      </c>
      <c r="G9" s="186">
        <f>'5. Medidas a).iii) Iluminação'!L39</f>
        <v>0</v>
      </c>
      <c r="H9" s="186">
        <f>'5. Medidas a).iii) Iluminação'!M39</f>
        <v>0</v>
      </c>
      <c r="I9" s="186">
        <f>'5. Medidas a).iii) Iluminação'!N39</f>
        <v>0</v>
      </c>
      <c r="J9" s="186">
        <f>'5. Medidas a).iii) Iluminação'!O39</f>
        <v>0</v>
      </c>
      <c r="K9" s="186">
        <f>'5. Medidas a).iii) Iluminação'!P39</f>
        <v>0</v>
      </c>
      <c r="L9" s="186">
        <f>'5. Medidas a).iii) Iluminação'!Q39</f>
        <v>0</v>
      </c>
      <c r="M9" s="186">
        <f>'5. Medidas a).iii) Iluminação'!R39</f>
        <v>0</v>
      </c>
      <c r="N9" s="186">
        <f>'5. Medidas a).iii) Iluminação'!S39</f>
        <v>0</v>
      </c>
      <c r="O9" s="186">
        <f>'5. Medidas a).iii) Iluminação'!T39</f>
        <v>0</v>
      </c>
      <c r="P9" s="186">
        <f>'5. Medidas a).iii) Iluminação'!U39</f>
        <v>0</v>
      </c>
      <c r="Q9" s="186">
        <f>'5. Medidas a).iii) Iluminação'!V39</f>
        <v>0</v>
      </c>
      <c r="R9" s="186">
        <f>'5. Medidas a).iii) Iluminação'!W39</f>
        <v>0</v>
      </c>
      <c r="S9" s="186">
        <f>'5. Medidas a).iii) Iluminação'!X39</f>
        <v>0</v>
      </c>
      <c r="T9" s="186">
        <f>'5. Medidas a).iii) Iluminação'!Y39</f>
        <v>0</v>
      </c>
      <c r="U9" s="186">
        <f>'5. Medidas a).iii) Iluminação'!Z39</f>
        <v>0</v>
      </c>
      <c r="V9" s="186">
        <f>'5. Medidas a).iii) Iluminação'!AA39</f>
        <v>0</v>
      </c>
      <c r="W9" s="186">
        <f>'5. Medidas a).iii) Iluminação'!AB39</f>
        <v>0</v>
      </c>
      <c r="X9" s="186">
        <f>'5. Medidas a).iii) Iluminação'!AC39</f>
        <v>0</v>
      </c>
      <c r="Y9" s="186">
        <f>'5. Medidas a).iii) Iluminação'!AD39</f>
        <v>0</v>
      </c>
      <c r="Z9" s="186">
        <f>'5. Medidas a).iii) Iluminação'!AE39</f>
        <v>0</v>
      </c>
      <c r="AA9" s="186">
        <f>'5. Medidas a).iii) Iluminação'!AF39</f>
        <v>0</v>
      </c>
      <c r="AB9" s="186">
        <f>'5. Medidas a).iii) Iluminação'!AG39</f>
        <v>0</v>
      </c>
      <c r="AC9" s="187">
        <f t="shared" si="0"/>
        <v>0</v>
      </c>
      <c r="AD9" s="188">
        <f t="shared" si="1"/>
        <v>0</v>
      </c>
    </row>
    <row r="10" spans="2:30" ht="15.75" thickBot="1" x14ac:dyDescent="0.3">
      <c r="B10" s="177"/>
      <c r="C10" s="185" t="s">
        <v>72</v>
      </c>
      <c r="D10" s="186">
        <f>'6. Medidas a).iv)'!I39</f>
        <v>0</v>
      </c>
      <c r="E10" s="186">
        <f>'6. Medidas a).iv)'!J39</f>
        <v>0</v>
      </c>
      <c r="F10" s="186">
        <f>'6. Medidas a).iv)'!K39</f>
        <v>0</v>
      </c>
      <c r="G10" s="186">
        <f>'6. Medidas a).iv)'!L39</f>
        <v>0</v>
      </c>
      <c r="H10" s="186">
        <f>'6. Medidas a).iv)'!M39</f>
        <v>0</v>
      </c>
      <c r="I10" s="186">
        <f>'6. Medidas a).iv)'!N39</f>
        <v>0</v>
      </c>
      <c r="J10" s="186">
        <f>'6. Medidas a).iv)'!O39</f>
        <v>0</v>
      </c>
      <c r="K10" s="186">
        <f>'6. Medidas a).iv)'!P39</f>
        <v>0</v>
      </c>
      <c r="L10" s="186">
        <f>'6. Medidas a).iv)'!Q39</f>
        <v>0</v>
      </c>
      <c r="M10" s="186">
        <f>'6. Medidas a).iv)'!R39</f>
        <v>0</v>
      </c>
      <c r="N10" s="186">
        <f>'6. Medidas a).iv)'!S39</f>
        <v>0</v>
      </c>
      <c r="O10" s="186">
        <f>'6. Medidas a).iv)'!T39</f>
        <v>0</v>
      </c>
      <c r="P10" s="186">
        <f>'6. Medidas a).iv)'!U39</f>
        <v>0</v>
      </c>
      <c r="Q10" s="186">
        <f>'6. Medidas a).iv)'!V39</f>
        <v>0</v>
      </c>
      <c r="R10" s="186">
        <f>'6. Medidas a).iv)'!W39</f>
        <v>0</v>
      </c>
      <c r="S10" s="186">
        <f>'6. Medidas a).iv)'!X39</f>
        <v>0</v>
      </c>
      <c r="T10" s="186">
        <f>'6. Medidas a).iv)'!Y39</f>
        <v>0</v>
      </c>
      <c r="U10" s="186">
        <f>'6. Medidas a).iv)'!Z39</f>
        <v>0</v>
      </c>
      <c r="V10" s="186">
        <f>'6. Medidas a).iv)'!AA39</f>
        <v>0</v>
      </c>
      <c r="W10" s="186">
        <f>'6. Medidas a).iv)'!AB39</f>
        <v>0</v>
      </c>
      <c r="X10" s="186">
        <f>'6. Medidas a).iv)'!AC39</f>
        <v>0</v>
      </c>
      <c r="Y10" s="186">
        <f>'6. Medidas a).iv)'!AD39</f>
        <v>0</v>
      </c>
      <c r="Z10" s="186">
        <f>'6. Medidas a).iv)'!AE39</f>
        <v>0</v>
      </c>
      <c r="AA10" s="186">
        <f>'6. Medidas a).iv)'!AF39</f>
        <v>0</v>
      </c>
      <c r="AB10" s="186">
        <f>'6. Medidas a).iv)'!AG39</f>
        <v>0</v>
      </c>
      <c r="AC10" s="187">
        <f t="shared" si="0"/>
        <v>0</v>
      </c>
      <c r="AD10" s="188">
        <f t="shared" si="1"/>
        <v>0</v>
      </c>
    </row>
    <row r="11" spans="2:30" ht="15.75" thickBot="1" x14ac:dyDescent="0.3">
      <c r="B11" s="177"/>
      <c r="C11" s="185" t="s">
        <v>136</v>
      </c>
      <c r="D11" s="114">
        <f>'7. Medidas b).i)'!J39</f>
        <v>0</v>
      </c>
      <c r="E11" s="114">
        <f>'7. Medidas b).i)'!K39</f>
        <v>0</v>
      </c>
      <c r="F11" s="114">
        <f>'7. Medidas b).i)'!L39</f>
        <v>0</v>
      </c>
      <c r="G11" s="114">
        <f>'7. Medidas b).i)'!M39</f>
        <v>0</v>
      </c>
      <c r="H11" s="114">
        <f>'7. Medidas b).i)'!N39</f>
        <v>0</v>
      </c>
      <c r="I11" s="114">
        <f>'7. Medidas b).i)'!O39</f>
        <v>0</v>
      </c>
      <c r="J11" s="114">
        <f>'7. Medidas b).i)'!P39</f>
        <v>0</v>
      </c>
      <c r="K11" s="114">
        <f>'7. Medidas b).i)'!Q39</f>
        <v>0</v>
      </c>
      <c r="L11" s="114">
        <f>'7. Medidas b).i)'!R39</f>
        <v>0</v>
      </c>
      <c r="M11" s="114">
        <f>'7. Medidas b).i)'!S39</f>
        <v>0</v>
      </c>
      <c r="N11" s="114">
        <f>'7. Medidas b).i)'!T39</f>
        <v>0</v>
      </c>
      <c r="O11" s="114">
        <f>'7. Medidas b).i)'!U39</f>
        <v>0</v>
      </c>
      <c r="P11" s="114">
        <f>'7. Medidas b).i)'!V39</f>
        <v>0</v>
      </c>
      <c r="Q11" s="114">
        <f>'7. Medidas b).i)'!W39</f>
        <v>0</v>
      </c>
      <c r="R11" s="114">
        <f>'7. Medidas b).i)'!X39</f>
        <v>0</v>
      </c>
      <c r="S11" s="114">
        <f>'7. Medidas b).i)'!Y39</f>
        <v>0</v>
      </c>
      <c r="T11" s="114">
        <f>'7. Medidas b).i)'!Z39</f>
        <v>0</v>
      </c>
      <c r="U11" s="114">
        <f>'7. Medidas b).i)'!AA39</f>
        <v>0</v>
      </c>
      <c r="V11" s="114">
        <f>'7. Medidas b).i)'!AB39</f>
        <v>0</v>
      </c>
      <c r="W11" s="114">
        <f>'7. Medidas b).i)'!AC39</f>
        <v>0</v>
      </c>
      <c r="X11" s="114">
        <f>'7. Medidas b).i)'!AD39</f>
        <v>0</v>
      </c>
      <c r="Y11" s="114">
        <f>'7. Medidas b).i)'!AE39</f>
        <v>0</v>
      </c>
      <c r="Z11" s="114">
        <f>'7. Medidas b).i)'!AF39</f>
        <v>0</v>
      </c>
      <c r="AA11" s="114">
        <f>'7. Medidas b).i)'!AG39</f>
        <v>0</v>
      </c>
      <c r="AB11" s="114">
        <f>'7. Medidas b).i)'!AH39</f>
        <v>0</v>
      </c>
      <c r="AC11" s="190">
        <f t="shared" si="0"/>
        <v>0</v>
      </c>
      <c r="AD11" s="188">
        <f t="shared" si="1"/>
        <v>0</v>
      </c>
    </row>
    <row r="12" spans="2:30" ht="15.75" thickBot="1" x14ac:dyDescent="0.3">
      <c r="B12" s="177"/>
      <c r="C12" s="185" t="s">
        <v>137</v>
      </c>
      <c r="D12" s="114">
        <f>'8. Medidas b).ii)'!I39</f>
        <v>0</v>
      </c>
      <c r="E12" s="114">
        <f>'8. Medidas b).ii)'!J39</f>
        <v>0</v>
      </c>
      <c r="F12" s="114">
        <f>'8. Medidas b).ii)'!K39</f>
        <v>0</v>
      </c>
      <c r="G12" s="114">
        <f>'8. Medidas b).ii)'!L39</f>
        <v>0</v>
      </c>
      <c r="H12" s="114">
        <f>'8. Medidas b).ii)'!M39</f>
        <v>0</v>
      </c>
      <c r="I12" s="114">
        <f>'8. Medidas b).ii)'!N39</f>
        <v>0</v>
      </c>
      <c r="J12" s="114">
        <f>'8. Medidas b).ii)'!O39</f>
        <v>0</v>
      </c>
      <c r="K12" s="114">
        <f>'8. Medidas b).ii)'!P39</f>
        <v>0</v>
      </c>
      <c r="L12" s="114">
        <f>'8. Medidas b).ii)'!Q39</f>
        <v>0</v>
      </c>
      <c r="M12" s="114">
        <f>'8. Medidas b).ii)'!R39</f>
        <v>0</v>
      </c>
      <c r="N12" s="114">
        <f>'8. Medidas b).ii)'!S39</f>
        <v>0</v>
      </c>
      <c r="O12" s="114">
        <f>'8. Medidas b).ii)'!T39</f>
        <v>0</v>
      </c>
      <c r="P12" s="114">
        <f>'8. Medidas b).ii)'!U39</f>
        <v>0</v>
      </c>
      <c r="Q12" s="114">
        <f>'8. Medidas b).ii)'!V39</f>
        <v>0</v>
      </c>
      <c r="R12" s="114">
        <f>'8. Medidas b).ii)'!W39</f>
        <v>0</v>
      </c>
      <c r="S12" s="114">
        <f>'8. Medidas b).ii)'!X39</f>
        <v>0</v>
      </c>
      <c r="T12" s="114">
        <f>'8. Medidas b).ii)'!Y39</f>
        <v>0</v>
      </c>
      <c r="U12" s="114">
        <f>'8. Medidas b).ii)'!Z39</f>
        <v>0</v>
      </c>
      <c r="V12" s="114">
        <f>'8. Medidas b).ii)'!AA39</f>
        <v>0</v>
      </c>
      <c r="W12" s="114">
        <f>'8. Medidas b).ii)'!AB39</f>
        <v>0</v>
      </c>
      <c r="X12" s="114">
        <f>'8. Medidas b).ii)'!AC39</f>
        <v>0</v>
      </c>
      <c r="Y12" s="114">
        <f>'8. Medidas b).ii)'!AD39</f>
        <v>0</v>
      </c>
      <c r="Z12" s="114">
        <f>'8. Medidas b).ii)'!AE39</f>
        <v>0</v>
      </c>
      <c r="AA12" s="114">
        <f>'8. Medidas b).ii)'!AF39</f>
        <v>0</v>
      </c>
      <c r="AB12" s="114">
        <f>'8. Medidas b).ii)'!AG39</f>
        <v>0</v>
      </c>
      <c r="AC12" s="190">
        <f t="shared" si="0"/>
        <v>0</v>
      </c>
      <c r="AD12" s="188">
        <f t="shared" si="1"/>
        <v>0</v>
      </c>
    </row>
    <row r="13" spans="2:30" ht="15.75" thickBot="1" x14ac:dyDescent="0.3">
      <c r="B13" s="177"/>
      <c r="C13" s="185" t="s">
        <v>327</v>
      </c>
      <c r="D13" s="370">
        <f>'9. Medidas c)'!J49</f>
        <v>0</v>
      </c>
      <c r="E13" s="370">
        <f>'9. Medidas c)'!K49</f>
        <v>0</v>
      </c>
      <c r="F13" s="370">
        <f>'9. Medidas c)'!L49</f>
        <v>0</v>
      </c>
      <c r="G13" s="370">
        <f>'9. Medidas c)'!M49</f>
        <v>0</v>
      </c>
      <c r="H13" s="370">
        <f>'9. Medidas c)'!N49</f>
        <v>0</v>
      </c>
      <c r="I13" s="370">
        <f>'9. Medidas c)'!O49</f>
        <v>0</v>
      </c>
      <c r="J13" s="370">
        <f>'9. Medidas c)'!P49</f>
        <v>0</v>
      </c>
      <c r="K13" s="370">
        <f>'9. Medidas c)'!Q49</f>
        <v>0</v>
      </c>
      <c r="L13" s="370">
        <f>'9. Medidas c)'!R49</f>
        <v>0</v>
      </c>
      <c r="M13" s="370">
        <f>'9. Medidas c)'!S49</f>
        <v>0</v>
      </c>
      <c r="N13" s="370">
        <f>'9. Medidas c)'!T49</f>
        <v>0</v>
      </c>
      <c r="O13" s="370">
        <f>'9. Medidas c)'!U49</f>
        <v>0</v>
      </c>
      <c r="P13" s="370">
        <f>'9. Medidas c)'!V49</f>
        <v>0</v>
      </c>
      <c r="Q13" s="370">
        <f>'9. Medidas c)'!W49</f>
        <v>0</v>
      </c>
      <c r="R13" s="370">
        <f>'9. Medidas c)'!X49</f>
        <v>0</v>
      </c>
      <c r="S13" s="370">
        <f>'9. Medidas c)'!Y49</f>
        <v>0</v>
      </c>
      <c r="T13" s="370">
        <f>'9. Medidas c)'!Z49</f>
        <v>0</v>
      </c>
      <c r="U13" s="370">
        <f>'9. Medidas c)'!AA49</f>
        <v>0</v>
      </c>
      <c r="V13" s="370">
        <f>'9. Medidas c)'!AB49</f>
        <v>0</v>
      </c>
      <c r="W13" s="370">
        <f>'9. Medidas c)'!AC49</f>
        <v>0</v>
      </c>
      <c r="X13" s="370">
        <f>'9. Medidas c)'!AD49</f>
        <v>0</v>
      </c>
      <c r="Y13" s="370">
        <f>'9. Medidas c)'!AE49</f>
        <v>0</v>
      </c>
      <c r="Z13" s="370">
        <f>'9. Medidas c)'!AF49</f>
        <v>0</v>
      </c>
      <c r="AA13" s="370">
        <f>'9. Medidas c)'!AG49</f>
        <v>0</v>
      </c>
      <c r="AB13" s="370">
        <f>'9. Medidas c)'!AH49</f>
        <v>0</v>
      </c>
      <c r="AC13" s="190">
        <f t="shared" si="0"/>
        <v>0</v>
      </c>
      <c r="AD13" s="188">
        <f t="shared" si="1"/>
        <v>0</v>
      </c>
    </row>
    <row r="14" spans="2:30" ht="15" customHeight="1" thickBot="1" x14ac:dyDescent="0.35">
      <c r="B14" s="177"/>
      <c r="C14" s="191" t="s">
        <v>197</v>
      </c>
      <c r="D14" s="192">
        <f>SUM(D6:D13)</f>
        <v>0</v>
      </c>
      <c r="E14" s="192">
        <f t="shared" ref="E14:AB14" si="2">SUM(E6:E13)</f>
        <v>0</v>
      </c>
      <c r="F14" s="192">
        <f t="shared" si="2"/>
        <v>0</v>
      </c>
      <c r="G14" s="192">
        <f t="shared" si="2"/>
        <v>0</v>
      </c>
      <c r="H14" s="192">
        <f t="shared" si="2"/>
        <v>0</v>
      </c>
      <c r="I14" s="192">
        <f t="shared" si="2"/>
        <v>0</v>
      </c>
      <c r="J14" s="192">
        <f t="shared" si="2"/>
        <v>0</v>
      </c>
      <c r="K14" s="192">
        <f t="shared" si="2"/>
        <v>0</v>
      </c>
      <c r="L14" s="192">
        <f t="shared" si="2"/>
        <v>0</v>
      </c>
      <c r="M14" s="192">
        <f t="shared" si="2"/>
        <v>0</v>
      </c>
      <c r="N14" s="192">
        <f t="shared" si="2"/>
        <v>0</v>
      </c>
      <c r="O14" s="192">
        <f t="shared" si="2"/>
        <v>0</v>
      </c>
      <c r="P14" s="192">
        <f t="shared" si="2"/>
        <v>0</v>
      </c>
      <c r="Q14" s="192">
        <f t="shared" si="2"/>
        <v>0</v>
      </c>
      <c r="R14" s="192">
        <f t="shared" si="2"/>
        <v>0</v>
      </c>
      <c r="S14" s="192">
        <f t="shared" si="2"/>
        <v>0</v>
      </c>
      <c r="T14" s="192">
        <f t="shared" si="2"/>
        <v>0</v>
      </c>
      <c r="U14" s="192">
        <f t="shared" si="2"/>
        <v>0</v>
      </c>
      <c r="V14" s="192">
        <f t="shared" si="2"/>
        <v>0</v>
      </c>
      <c r="W14" s="192">
        <f t="shared" si="2"/>
        <v>0</v>
      </c>
      <c r="X14" s="192">
        <f t="shared" si="2"/>
        <v>0</v>
      </c>
      <c r="Y14" s="192">
        <f t="shared" si="2"/>
        <v>0</v>
      </c>
      <c r="Z14" s="192">
        <f t="shared" si="2"/>
        <v>0</v>
      </c>
      <c r="AA14" s="192">
        <f t="shared" si="2"/>
        <v>0</v>
      </c>
      <c r="AB14" s="195">
        <f t="shared" si="2"/>
        <v>0</v>
      </c>
      <c r="AC14" s="569">
        <f t="shared" si="0"/>
        <v>0</v>
      </c>
    </row>
    <row r="15" spans="2:30" s="196" customFormat="1" ht="15" customHeight="1" thickBot="1" x14ac:dyDescent="0.3">
      <c r="B15" s="193"/>
      <c r="C15" s="194" t="s">
        <v>75</v>
      </c>
      <c r="D15" s="195">
        <f>D14</f>
        <v>0</v>
      </c>
      <c r="E15" s="195">
        <f>E14+D15</f>
        <v>0</v>
      </c>
      <c r="F15" s="195">
        <f t="shared" ref="F15:AB15" si="3">F14+E15</f>
        <v>0</v>
      </c>
      <c r="G15" s="195">
        <f t="shared" si="3"/>
        <v>0</v>
      </c>
      <c r="H15" s="195">
        <f t="shared" si="3"/>
        <v>0</v>
      </c>
      <c r="I15" s="195">
        <f t="shared" si="3"/>
        <v>0</v>
      </c>
      <c r="J15" s="195">
        <f t="shared" si="3"/>
        <v>0</v>
      </c>
      <c r="K15" s="195">
        <f t="shared" si="3"/>
        <v>0</v>
      </c>
      <c r="L15" s="195">
        <f t="shared" si="3"/>
        <v>0</v>
      </c>
      <c r="M15" s="195">
        <f t="shared" si="3"/>
        <v>0</v>
      </c>
      <c r="N15" s="195">
        <f t="shared" si="3"/>
        <v>0</v>
      </c>
      <c r="O15" s="195">
        <f t="shared" si="3"/>
        <v>0</v>
      </c>
      <c r="P15" s="195">
        <f t="shared" si="3"/>
        <v>0</v>
      </c>
      <c r="Q15" s="195">
        <f t="shared" si="3"/>
        <v>0</v>
      </c>
      <c r="R15" s="195">
        <f t="shared" si="3"/>
        <v>0</v>
      </c>
      <c r="S15" s="195">
        <f t="shared" si="3"/>
        <v>0</v>
      </c>
      <c r="T15" s="195">
        <f t="shared" si="3"/>
        <v>0</v>
      </c>
      <c r="U15" s="195">
        <f t="shared" si="3"/>
        <v>0</v>
      </c>
      <c r="V15" s="195">
        <f t="shared" si="3"/>
        <v>0</v>
      </c>
      <c r="W15" s="195">
        <f t="shared" si="3"/>
        <v>0</v>
      </c>
      <c r="X15" s="195">
        <f t="shared" si="3"/>
        <v>0</v>
      </c>
      <c r="Y15" s="195">
        <f t="shared" si="3"/>
        <v>0</v>
      </c>
      <c r="Z15" s="195">
        <f t="shared" si="3"/>
        <v>0</v>
      </c>
      <c r="AA15" s="195">
        <f>AA14+Z15</f>
        <v>0</v>
      </c>
      <c r="AB15" s="195">
        <f t="shared" si="3"/>
        <v>0</v>
      </c>
      <c r="AC15" s="190"/>
    </row>
    <row r="16" spans="2:30" s="196" customFormat="1" ht="15" customHeight="1" thickBot="1" x14ac:dyDescent="0.3">
      <c r="B16" s="193"/>
      <c r="C16" s="194"/>
      <c r="D16" s="10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</row>
    <row r="17" spans="2:29" s="196" customFormat="1" ht="15" customHeight="1" thickBot="1" x14ac:dyDescent="0.35">
      <c r="B17" s="578"/>
      <c r="C17" s="194" t="s">
        <v>435</v>
      </c>
      <c r="D17" s="576">
        <v>0.04</v>
      </c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574"/>
      <c r="S17" s="574"/>
      <c r="T17" s="574"/>
      <c r="U17" s="574"/>
      <c r="V17" s="574"/>
      <c r="W17" s="574"/>
      <c r="X17" s="574"/>
      <c r="Y17" s="574"/>
      <c r="Z17" s="574"/>
      <c r="AA17" s="574"/>
      <c r="AB17" s="574"/>
      <c r="AC17" s="574"/>
    </row>
    <row r="18" spans="2:29" s="196" customFormat="1" ht="15" customHeight="1" thickBot="1" x14ac:dyDescent="0.3">
      <c r="B18" s="578"/>
      <c r="C18" s="194" t="s">
        <v>439</v>
      </c>
      <c r="D18" s="575">
        <f>D14/((1+$D$17)^2)</f>
        <v>0</v>
      </c>
      <c r="E18" s="586">
        <f>E14/((1+$D$17)^3)</f>
        <v>0</v>
      </c>
      <c r="F18" s="586">
        <f>F14/((1+$D$17)^4)</f>
        <v>0</v>
      </c>
      <c r="G18" s="586">
        <f>G14/((1+$D$17)^5)</f>
        <v>0</v>
      </c>
      <c r="H18" s="586">
        <f>H14/((1+$D$17)^6)</f>
        <v>0</v>
      </c>
      <c r="I18" s="586">
        <f>I14/((1+$D$17)^7)</f>
        <v>0</v>
      </c>
      <c r="J18" s="586">
        <f>J14/((1+$D$17)^8)</f>
        <v>0</v>
      </c>
      <c r="K18" s="586">
        <f>K14/((1+$D$17)^9)</f>
        <v>0</v>
      </c>
      <c r="L18" s="586">
        <f>L14/((1+$D$17)^10)</f>
        <v>0</v>
      </c>
      <c r="M18" s="586">
        <f>M14/((1+$D$17)^11)</f>
        <v>0</v>
      </c>
      <c r="N18" s="586">
        <f>N14/((1+$D$17)^12)</f>
        <v>0</v>
      </c>
      <c r="O18" s="586">
        <f>O14/((1+$D$17)^13)</f>
        <v>0</v>
      </c>
      <c r="P18" s="586">
        <f>P14/((1+$D$17)^14)</f>
        <v>0</v>
      </c>
      <c r="Q18" s="586">
        <f>Q14/((1+$D$17)^15)</f>
        <v>0</v>
      </c>
      <c r="R18" s="586">
        <f>R14/((1+$D$17)^16)</f>
        <v>0</v>
      </c>
      <c r="S18" s="586">
        <f>S14/((1+$D$17)^17)</f>
        <v>0</v>
      </c>
      <c r="T18" s="586">
        <f>T14/((1+$D$17)^18)</f>
        <v>0</v>
      </c>
      <c r="U18" s="586">
        <f>U14/((1+$D$17)^19)</f>
        <v>0</v>
      </c>
      <c r="V18" s="586">
        <f>V14/((1+$D$17)^20)</f>
        <v>0</v>
      </c>
      <c r="W18" s="586">
        <f>W14/((1+$D$17)^21)</f>
        <v>0</v>
      </c>
      <c r="X18" s="586">
        <f>X14/((1+$D$17)^22)</f>
        <v>0</v>
      </c>
      <c r="Y18" s="586">
        <f>Y14/((1+$D$17)^23)</f>
        <v>0</v>
      </c>
      <c r="Z18" s="586">
        <f>Z14/((1+$D$17)^24)</f>
        <v>0</v>
      </c>
      <c r="AA18" s="586">
        <f>AA14/((1+$D$17)^25)</f>
        <v>0</v>
      </c>
      <c r="AB18" s="586">
        <f>AB14/((1+$D$17)^26)</f>
        <v>0</v>
      </c>
      <c r="AC18" s="574"/>
    </row>
    <row r="19" spans="2:29" s="196" customFormat="1" ht="15" customHeight="1" thickBot="1" x14ac:dyDescent="0.3">
      <c r="B19" s="578"/>
      <c r="C19" s="194" t="s">
        <v>436</v>
      </c>
      <c r="D19" s="575">
        <f>SUM(D18:AB18)</f>
        <v>0</v>
      </c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574"/>
      <c r="S19" s="574"/>
      <c r="T19" s="574"/>
      <c r="U19" s="574"/>
      <c r="V19" s="574"/>
      <c r="W19" s="574"/>
      <c r="X19" s="574"/>
      <c r="Y19" s="574"/>
      <c r="Z19" s="574"/>
      <c r="AA19" s="574"/>
      <c r="AB19" s="574"/>
      <c r="AC19" s="574"/>
    </row>
    <row r="20" spans="2:29" s="196" customFormat="1" ht="15" customHeight="1" thickBot="1" x14ac:dyDescent="0.3">
      <c r="B20" s="193"/>
      <c r="C20" s="194"/>
      <c r="D20" s="102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</row>
    <row r="21" spans="2:29" ht="19.5" customHeight="1" thickBot="1" x14ac:dyDescent="0.3">
      <c r="B21" s="177"/>
      <c r="C21" s="116"/>
      <c r="D21" s="1146" t="s">
        <v>25</v>
      </c>
      <c r="E21" s="1147"/>
      <c r="F21" s="1147"/>
      <c r="G21" s="1147"/>
      <c r="H21" s="1147"/>
      <c r="I21" s="1147"/>
      <c r="J21" s="1147"/>
      <c r="K21" s="1147"/>
      <c r="L21" s="1147"/>
      <c r="M21" s="1147"/>
      <c r="N21" s="1147"/>
      <c r="O21" s="1147"/>
      <c r="P21" s="1147"/>
      <c r="Q21" s="1147"/>
      <c r="R21" s="1147"/>
      <c r="S21" s="1147"/>
      <c r="T21" s="1147"/>
      <c r="U21" s="1147"/>
      <c r="V21" s="1147"/>
      <c r="W21" s="1147"/>
      <c r="X21" s="1147"/>
      <c r="Y21" s="1147"/>
      <c r="Z21" s="1147"/>
      <c r="AA21" s="1147"/>
      <c r="AB21" s="1147"/>
      <c r="AC21" s="1148"/>
    </row>
    <row r="22" spans="2:29" ht="15" thickBot="1" x14ac:dyDescent="0.35">
      <c r="B22" s="177"/>
      <c r="C22" s="175" t="s">
        <v>168</v>
      </c>
      <c r="D22" s="176">
        <v>1</v>
      </c>
      <c r="E22" s="176">
        <v>2</v>
      </c>
      <c r="F22" s="176">
        <v>3</v>
      </c>
      <c r="G22" s="176">
        <v>4</v>
      </c>
      <c r="H22" s="176">
        <v>5</v>
      </c>
      <c r="I22" s="176">
        <v>6</v>
      </c>
      <c r="J22" s="176">
        <v>7</v>
      </c>
      <c r="K22" s="176">
        <v>8</v>
      </c>
      <c r="L22" s="176">
        <v>9</v>
      </c>
      <c r="M22" s="176">
        <v>10</v>
      </c>
      <c r="N22" s="176">
        <v>11</v>
      </c>
      <c r="O22" s="176">
        <v>12</v>
      </c>
      <c r="P22" s="176">
        <v>13</v>
      </c>
      <c r="Q22" s="176">
        <v>14</v>
      </c>
      <c r="R22" s="176">
        <v>15</v>
      </c>
      <c r="S22" s="176">
        <v>16</v>
      </c>
      <c r="T22" s="176">
        <v>17</v>
      </c>
      <c r="U22" s="176">
        <v>18</v>
      </c>
      <c r="V22" s="176">
        <v>19</v>
      </c>
      <c r="W22" s="176">
        <v>20</v>
      </c>
      <c r="X22" s="176">
        <v>21</v>
      </c>
      <c r="Y22" s="176">
        <v>22</v>
      </c>
      <c r="Z22" s="176">
        <v>23</v>
      </c>
      <c r="AA22" s="176">
        <v>24</v>
      </c>
      <c r="AB22" s="176">
        <v>25</v>
      </c>
      <c r="AC22" s="206" t="s">
        <v>53</v>
      </c>
    </row>
    <row r="23" spans="2:29" s="184" customFormat="1" ht="15" customHeight="1" thickBot="1" x14ac:dyDescent="0.3">
      <c r="B23" s="177"/>
      <c r="C23" s="118"/>
      <c r="D23" s="178"/>
      <c r="E23" s="179"/>
      <c r="F23" s="179"/>
      <c r="G23" s="179"/>
      <c r="H23" s="179"/>
      <c r="I23" s="179"/>
      <c r="J23" s="179"/>
      <c r="K23" s="179"/>
      <c r="L23" s="180"/>
      <c r="M23" s="181"/>
      <c r="N23" s="178"/>
      <c r="O23" s="179"/>
      <c r="P23" s="179"/>
      <c r="Q23" s="179"/>
      <c r="R23" s="179"/>
      <c r="S23" s="179"/>
      <c r="T23" s="179"/>
      <c r="U23" s="179"/>
      <c r="V23" s="180"/>
      <c r="W23" s="181"/>
      <c r="X23" s="181"/>
      <c r="Y23" s="181"/>
      <c r="Z23" s="181"/>
      <c r="AA23" s="181"/>
      <c r="AB23" s="181"/>
      <c r="AC23" s="183"/>
    </row>
    <row r="24" spans="2:29" ht="15" x14ac:dyDescent="0.25">
      <c r="B24" s="177"/>
      <c r="C24" s="185" t="s">
        <v>70</v>
      </c>
      <c r="D24" s="385">
        <f>'2. Medidas a).i)'!I48</f>
        <v>0</v>
      </c>
      <c r="E24" s="386">
        <f>'2. Medidas a).i)'!J48</f>
        <v>0</v>
      </c>
      <c r="F24" s="386">
        <f>'2. Medidas a).i)'!K48</f>
        <v>0</v>
      </c>
      <c r="G24" s="386">
        <f>'2. Medidas a).i)'!L48</f>
        <v>0</v>
      </c>
      <c r="H24" s="386">
        <f>'2. Medidas a).i)'!M48</f>
        <v>0</v>
      </c>
      <c r="I24" s="386">
        <f>'2. Medidas a).i)'!N48</f>
        <v>0</v>
      </c>
      <c r="J24" s="386">
        <f>'2. Medidas a).i)'!O48</f>
        <v>0</v>
      </c>
      <c r="K24" s="386">
        <f>'2. Medidas a).i)'!P48</f>
        <v>0</v>
      </c>
      <c r="L24" s="386">
        <f>'2. Medidas a).i)'!Q48</f>
        <v>0</v>
      </c>
      <c r="M24" s="386">
        <f>'2. Medidas a).i)'!R48</f>
        <v>0</v>
      </c>
      <c r="N24" s="386">
        <f>'2. Medidas a).i)'!S48</f>
        <v>0</v>
      </c>
      <c r="O24" s="386">
        <f>'2. Medidas a).i)'!T48</f>
        <v>0</v>
      </c>
      <c r="P24" s="386">
        <f>'2. Medidas a).i)'!U48</f>
        <v>0</v>
      </c>
      <c r="Q24" s="386">
        <f>'2. Medidas a).i)'!V48</f>
        <v>0</v>
      </c>
      <c r="R24" s="386">
        <f>'2. Medidas a).i)'!W48</f>
        <v>0</v>
      </c>
      <c r="S24" s="386">
        <f>'2. Medidas a).i)'!X48</f>
        <v>0</v>
      </c>
      <c r="T24" s="386">
        <f>'2. Medidas a).i)'!Y48</f>
        <v>0</v>
      </c>
      <c r="U24" s="386">
        <f>'2. Medidas a).i)'!Z48</f>
        <v>0</v>
      </c>
      <c r="V24" s="386">
        <f>'2. Medidas a).i)'!AA48</f>
        <v>0</v>
      </c>
      <c r="W24" s="386">
        <f>'2. Medidas a).i)'!AB48</f>
        <v>0</v>
      </c>
      <c r="X24" s="386">
        <f>'2. Medidas a).i)'!AC48</f>
        <v>0</v>
      </c>
      <c r="Y24" s="386">
        <f>'2. Medidas a).i)'!AD48</f>
        <v>0</v>
      </c>
      <c r="Z24" s="386">
        <f>'2. Medidas a).i)'!AE48</f>
        <v>0</v>
      </c>
      <c r="AA24" s="386">
        <f>'2. Medidas a).i)'!AF48</f>
        <v>0</v>
      </c>
      <c r="AB24" s="386">
        <f>'2. Medidas a).i)'!AG48</f>
        <v>0</v>
      </c>
      <c r="AC24" s="387">
        <f t="shared" ref="AC24:AC31" si="4">SUM(D24:AB24)</f>
        <v>0</v>
      </c>
    </row>
    <row r="25" spans="2:29" ht="15" x14ac:dyDescent="0.25">
      <c r="B25" s="177"/>
      <c r="C25" s="185" t="s">
        <v>71</v>
      </c>
      <c r="D25" s="388">
        <f>'3. Medidas a).ii)'!I52</f>
        <v>0</v>
      </c>
      <c r="E25" s="389">
        <f>'3. Medidas a).ii)'!J52</f>
        <v>0</v>
      </c>
      <c r="F25" s="389">
        <f>'3. Medidas a).ii)'!K52</f>
        <v>0</v>
      </c>
      <c r="G25" s="389">
        <f>'3. Medidas a).ii)'!L52</f>
        <v>0</v>
      </c>
      <c r="H25" s="389">
        <f>'3. Medidas a).ii)'!M52</f>
        <v>0</v>
      </c>
      <c r="I25" s="389">
        <f>'3. Medidas a).ii)'!N52</f>
        <v>0</v>
      </c>
      <c r="J25" s="389">
        <f>'3. Medidas a).ii)'!O52</f>
        <v>0</v>
      </c>
      <c r="K25" s="389">
        <f>'3. Medidas a).ii)'!P52</f>
        <v>0</v>
      </c>
      <c r="L25" s="389">
        <f>'3. Medidas a).ii)'!Q52</f>
        <v>0</v>
      </c>
      <c r="M25" s="389">
        <f>'3. Medidas a).ii)'!R52</f>
        <v>0</v>
      </c>
      <c r="N25" s="389">
        <f>'3. Medidas a).ii)'!S52</f>
        <v>0</v>
      </c>
      <c r="O25" s="389">
        <f>'3. Medidas a).ii)'!T52</f>
        <v>0</v>
      </c>
      <c r="P25" s="389">
        <f>'3. Medidas a).ii)'!U52</f>
        <v>0</v>
      </c>
      <c r="Q25" s="389">
        <f>'3. Medidas a).ii)'!V52</f>
        <v>0</v>
      </c>
      <c r="R25" s="389">
        <f>'3. Medidas a).ii)'!W52</f>
        <v>0</v>
      </c>
      <c r="S25" s="389">
        <f>'3. Medidas a).ii)'!X52</f>
        <v>0</v>
      </c>
      <c r="T25" s="389">
        <f>'3. Medidas a).ii)'!Y52</f>
        <v>0</v>
      </c>
      <c r="U25" s="389">
        <f>'3. Medidas a).ii)'!Z52</f>
        <v>0</v>
      </c>
      <c r="V25" s="389">
        <f>'3. Medidas a).ii)'!AA52</f>
        <v>0</v>
      </c>
      <c r="W25" s="389">
        <f>'3. Medidas a).ii)'!AB52</f>
        <v>0</v>
      </c>
      <c r="X25" s="389">
        <f>'3. Medidas a).ii)'!AC52</f>
        <v>0</v>
      </c>
      <c r="Y25" s="389">
        <f>'3. Medidas a).ii)'!AD52</f>
        <v>0</v>
      </c>
      <c r="Z25" s="389">
        <f>'3. Medidas a).ii)'!AE52</f>
        <v>0</v>
      </c>
      <c r="AA25" s="389">
        <f>'3. Medidas a).ii)'!AF52</f>
        <v>0</v>
      </c>
      <c r="AB25" s="389">
        <f>'3. Medidas a).ii)'!AG52</f>
        <v>0</v>
      </c>
      <c r="AC25" s="390">
        <f t="shared" si="4"/>
        <v>0</v>
      </c>
    </row>
    <row r="26" spans="2:29" ht="15" x14ac:dyDescent="0.25">
      <c r="B26" s="177"/>
      <c r="C26" s="185" t="s">
        <v>325</v>
      </c>
      <c r="D26" s="388">
        <f>'4. Medidas a).iii) Sistemas'!I50</f>
        <v>0</v>
      </c>
      <c r="E26" s="389">
        <f>'4. Medidas a).iii) Sistemas'!J50</f>
        <v>0</v>
      </c>
      <c r="F26" s="389">
        <f>'4. Medidas a).iii) Sistemas'!K50</f>
        <v>0</v>
      </c>
      <c r="G26" s="389">
        <f>'4. Medidas a).iii) Sistemas'!L50</f>
        <v>0</v>
      </c>
      <c r="H26" s="389">
        <f>'4. Medidas a).iii) Sistemas'!M50</f>
        <v>0</v>
      </c>
      <c r="I26" s="389">
        <f>'4. Medidas a).iii) Sistemas'!N50</f>
        <v>0</v>
      </c>
      <c r="J26" s="389">
        <f>'4. Medidas a).iii) Sistemas'!O50</f>
        <v>0</v>
      </c>
      <c r="K26" s="389">
        <f>'4. Medidas a).iii) Sistemas'!P50</f>
        <v>0</v>
      </c>
      <c r="L26" s="389">
        <f>'4. Medidas a).iii) Sistemas'!Q50</f>
        <v>0</v>
      </c>
      <c r="M26" s="389">
        <f>'4. Medidas a).iii) Sistemas'!R50</f>
        <v>0</v>
      </c>
      <c r="N26" s="389">
        <f>'4. Medidas a).iii) Sistemas'!S50</f>
        <v>0</v>
      </c>
      <c r="O26" s="389">
        <f>'4. Medidas a).iii) Sistemas'!T50</f>
        <v>0</v>
      </c>
      <c r="P26" s="389">
        <f>'4. Medidas a).iii) Sistemas'!U50</f>
        <v>0</v>
      </c>
      <c r="Q26" s="389">
        <f>'4. Medidas a).iii) Sistemas'!V50</f>
        <v>0</v>
      </c>
      <c r="R26" s="389">
        <f>'4. Medidas a).iii) Sistemas'!W50</f>
        <v>0</v>
      </c>
      <c r="S26" s="389">
        <f>'4. Medidas a).iii) Sistemas'!X50</f>
        <v>0</v>
      </c>
      <c r="T26" s="389">
        <f>'4. Medidas a).iii) Sistemas'!Y50</f>
        <v>0</v>
      </c>
      <c r="U26" s="389">
        <f>'4. Medidas a).iii) Sistemas'!Z50</f>
        <v>0</v>
      </c>
      <c r="V26" s="389">
        <f>'4. Medidas a).iii) Sistemas'!AA50</f>
        <v>0</v>
      </c>
      <c r="W26" s="389">
        <f>'4. Medidas a).iii) Sistemas'!AB50</f>
        <v>0</v>
      </c>
      <c r="X26" s="389">
        <f>'4. Medidas a).iii) Sistemas'!AC50</f>
        <v>0</v>
      </c>
      <c r="Y26" s="389">
        <f>'4. Medidas a).iii) Sistemas'!AD50</f>
        <v>0</v>
      </c>
      <c r="Z26" s="389">
        <f>'4. Medidas a).iii) Sistemas'!AE50</f>
        <v>0</v>
      </c>
      <c r="AA26" s="389">
        <f>'4. Medidas a).iii) Sistemas'!AF50</f>
        <v>0</v>
      </c>
      <c r="AB26" s="389">
        <f>'4. Medidas a).iii) Sistemas'!AG50</f>
        <v>0</v>
      </c>
      <c r="AC26" s="390">
        <f t="shared" si="4"/>
        <v>0</v>
      </c>
    </row>
    <row r="27" spans="2:29" x14ac:dyDescent="0.3">
      <c r="B27" s="131"/>
      <c r="C27" s="185" t="s">
        <v>328</v>
      </c>
      <c r="D27" s="388">
        <f>'5. Medidas a).iii) Iluminação'!I52</f>
        <v>0</v>
      </c>
      <c r="E27" s="389">
        <f>'5. Medidas a).iii) Iluminação'!J52</f>
        <v>0</v>
      </c>
      <c r="F27" s="389">
        <f>'5. Medidas a).iii) Iluminação'!K52</f>
        <v>0</v>
      </c>
      <c r="G27" s="389">
        <f>'5. Medidas a).iii) Iluminação'!L52</f>
        <v>0</v>
      </c>
      <c r="H27" s="389">
        <f>'5. Medidas a).iii) Iluminação'!M52</f>
        <v>0</v>
      </c>
      <c r="I27" s="389">
        <f>'5. Medidas a).iii) Iluminação'!N52</f>
        <v>0</v>
      </c>
      <c r="J27" s="389">
        <f>'5. Medidas a).iii) Iluminação'!O52</f>
        <v>0</v>
      </c>
      <c r="K27" s="389">
        <f>'5. Medidas a).iii) Iluminação'!P52</f>
        <v>0</v>
      </c>
      <c r="L27" s="389">
        <f>'5. Medidas a).iii) Iluminação'!Q52</f>
        <v>0</v>
      </c>
      <c r="M27" s="389">
        <f>'5. Medidas a).iii) Iluminação'!R52</f>
        <v>0</v>
      </c>
      <c r="N27" s="389">
        <f>'5. Medidas a).iii) Iluminação'!S52</f>
        <v>0</v>
      </c>
      <c r="O27" s="389">
        <f>'5. Medidas a).iii) Iluminação'!T52</f>
        <v>0</v>
      </c>
      <c r="P27" s="389">
        <f>'5. Medidas a).iii) Iluminação'!U52</f>
        <v>0</v>
      </c>
      <c r="Q27" s="389">
        <f>'5. Medidas a).iii) Iluminação'!V52</f>
        <v>0</v>
      </c>
      <c r="R27" s="389">
        <f>'5. Medidas a).iii) Iluminação'!W52</f>
        <v>0</v>
      </c>
      <c r="S27" s="389">
        <f>'5. Medidas a).iii) Iluminação'!X52</f>
        <v>0</v>
      </c>
      <c r="T27" s="389">
        <f>'5. Medidas a).iii) Iluminação'!Y52</f>
        <v>0</v>
      </c>
      <c r="U27" s="389">
        <f>'5. Medidas a).iii) Iluminação'!Z52</f>
        <v>0</v>
      </c>
      <c r="V27" s="389">
        <f>'5. Medidas a).iii) Iluminação'!AA52</f>
        <v>0</v>
      </c>
      <c r="W27" s="389">
        <f>'5. Medidas a).iii) Iluminação'!AB52</f>
        <v>0</v>
      </c>
      <c r="X27" s="389">
        <f>'5. Medidas a).iii) Iluminação'!AC52</f>
        <v>0</v>
      </c>
      <c r="Y27" s="389">
        <f>'5. Medidas a).iii) Iluminação'!AD52</f>
        <v>0</v>
      </c>
      <c r="Z27" s="389">
        <f>'5. Medidas a).iii) Iluminação'!AE52</f>
        <v>0</v>
      </c>
      <c r="AA27" s="389">
        <f>'5. Medidas a).iii) Iluminação'!AF52</f>
        <v>0</v>
      </c>
      <c r="AB27" s="389">
        <f>'5. Medidas a).iii) Iluminação'!AG52</f>
        <v>0</v>
      </c>
      <c r="AC27" s="390">
        <f t="shared" si="4"/>
        <v>0</v>
      </c>
    </row>
    <row r="28" spans="2:29" ht="15" x14ac:dyDescent="0.25">
      <c r="B28" s="131"/>
      <c r="C28" s="185" t="s">
        <v>72</v>
      </c>
      <c r="D28" s="388">
        <f>'6. Medidas a).iv)'!I52</f>
        <v>0</v>
      </c>
      <c r="E28" s="389">
        <f>'6. Medidas a).iv)'!J52</f>
        <v>0</v>
      </c>
      <c r="F28" s="389">
        <f>'6. Medidas a).iv)'!K52</f>
        <v>0</v>
      </c>
      <c r="G28" s="389">
        <f>'6. Medidas a).iv)'!L52</f>
        <v>0</v>
      </c>
      <c r="H28" s="389">
        <f>'6. Medidas a).iv)'!M52</f>
        <v>0</v>
      </c>
      <c r="I28" s="389">
        <f>'6. Medidas a).iv)'!N52</f>
        <v>0</v>
      </c>
      <c r="J28" s="389">
        <f>'6. Medidas a).iv)'!O52</f>
        <v>0</v>
      </c>
      <c r="K28" s="389">
        <f>'6. Medidas a).iv)'!P52</f>
        <v>0</v>
      </c>
      <c r="L28" s="389">
        <f>'6. Medidas a).iv)'!Q52</f>
        <v>0</v>
      </c>
      <c r="M28" s="389">
        <f>'6. Medidas a).iv)'!R52</f>
        <v>0</v>
      </c>
      <c r="N28" s="389">
        <f>'6. Medidas a).iv)'!S52</f>
        <v>0</v>
      </c>
      <c r="O28" s="389">
        <f>'6. Medidas a).iv)'!T52</f>
        <v>0</v>
      </c>
      <c r="P28" s="389">
        <f>'6. Medidas a).iv)'!U52</f>
        <v>0</v>
      </c>
      <c r="Q28" s="389">
        <f>'6. Medidas a).iv)'!V52</f>
        <v>0</v>
      </c>
      <c r="R28" s="389">
        <f>'6. Medidas a).iv)'!W52</f>
        <v>0</v>
      </c>
      <c r="S28" s="389">
        <f>'6. Medidas a).iv)'!X52</f>
        <v>0</v>
      </c>
      <c r="T28" s="389">
        <f>'6. Medidas a).iv)'!Y52</f>
        <v>0</v>
      </c>
      <c r="U28" s="389">
        <f>'6. Medidas a).iv)'!Z52</f>
        <v>0</v>
      </c>
      <c r="V28" s="389">
        <f>'6. Medidas a).iv)'!AA52</f>
        <v>0</v>
      </c>
      <c r="W28" s="389">
        <f>'6. Medidas a).iv)'!AB52</f>
        <v>0</v>
      </c>
      <c r="X28" s="389">
        <f>'6. Medidas a).iv)'!AC52</f>
        <v>0</v>
      </c>
      <c r="Y28" s="389">
        <f>'6. Medidas a).iv)'!AD52</f>
        <v>0</v>
      </c>
      <c r="Z28" s="389">
        <f>'6. Medidas a).iv)'!AE52</f>
        <v>0</v>
      </c>
      <c r="AA28" s="389">
        <f>'6. Medidas a).iv)'!AF52</f>
        <v>0</v>
      </c>
      <c r="AB28" s="389">
        <f>'6. Medidas a).iv)'!AG52</f>
        <v>0</v>
      </c>
      <c r="AC28" s="390">
        <f t="shared" si="4"/>
        <v>0</v>
      </c>
    </row>
    <row r="29" spans="2:29" ht="15" x14ac:dyDescent="0.25">
      <c r="B29" s="131"/>
      <c r="C29" s="185" t="s">
        <v>136</v>
      </c>
      <c r="D29" s="388">
        <f>'7. Medidas b).i)'!J52</f>
        <v>0</v>
      </c>
      <c r="E29" s="389">
        <f>'7. Medidas b).i)'!K52</f>
        <v>0</v>
      </c>
      <c r="F29" s="389">
        <f>'7. Medidas b).i)'!L52</f>
        <v>0</v>
      </c>
      <c r="G29" s="389">
        <f>'7. Medidas b).i)'!M52</f>
        <v>0</v>
      </c>
      <c r="H29" s="389">
        <f>'7. Medidas b).i)'!N52</f>
        <v>0</v>
      </c>
      <c r="I29" s="389">
        <f>'7. Medidas b).i)'!O52</f>
        <v>0</v>
      </c>
      <c r="J29" s="389">
        <f>'7. Medidas b).i)'!P52</f>
        <v>0</v>
      </c>
      <c r="K29" s="389">
        <f>'7. Medidas b).i)'!Q52</f>
        <v>0</v>
      </c>
      <c r="L29" s="389">
        <f>'7. Medidas b).i)'!R52</f>
        <v>0</v>
      </c>
      <c r="M29" s="389">
        <f>'7. Medidas b).i)'!S52</f>
        <v>0</v>
      </c>
      <c r="N29" s="389">
        <f>'7. Medidas b).i)'!T52</f>
        <v>0</v>
      </c>
      <c r="O29" s="389">
        <f>'7. Medidas b).i)'!U52</f>
        <v>0</v>
      </c>
      <c r="P29" s="389">
        <f>'7. Medidas b).i)'!V52</f>
        <v>0</v>
      </c>
      <c r="Q29" s="389">
        <f>'7. Medidas b).i)'!W52</f>
        <v>0</v>
      </c>
      <c r="R29" s="389">
        <f>'7. Medidas b).i)'!X52</f>
        <v>0</v>
      </c>
      <c r="S29" s="389">
        <f>'7. Medidas b).i)'!Y52</f>
        <v>0</v>
      </c>
      <c r="T29" s="389">
        <f>'7. Medidas b).i)'!Z52</f>
        <v>0</v>
      </c>
      <c r="U29" s="389">
        <f>'7. Medidas b).i)'!AA52</f>
        <v>0</v>
      </c>
      <c r="V29" s="389">
        <f>'7. Medidas b).i)'!AB52</f>
        <v>0</v>
      </c>
      <c r="W29" s="389">
        <f>'7. Medidas b).i)'!AC52</f>
        <v>0</v>
      </c>
      <c r="X29" s="389">
        <f>'7. Medidas b).i)'!AD52</f>
        <v>0</v>
      </c>
      <c r="Y29" s="389">
        <f>'7. Medidas b).i)'!AE52</f>
        <v>0</v>
      </c>
      <c r="Z29" s="389">
        <f>'7. Medidas b).i)'!AF52</f>
        <v>0</v>
      </c>
      <c r="AA29" s="389">
        <f>'7. Medidas b).i)'!AG52</f>
        <v>0</v>
      </c>
      <c r="AB29" s="389">
        <f>'7. Medidas b).i)'!AH52</f>
        <v>0</v>
      </c>
      <c r="AC29" s="390">
        <f t="shared" si="4"/>
        <v>0</v>
      </c>
    </row>
    <row r="30" spans="2:29" ht="15" x14ac:dyDescent="0.25">
      <c r="B30" s="131"/>
      <c r="C30" s="185" t="s">
        <v>137</v>
      </c>
      <c r="D30" s="388">
        <f>'8. Medidas b).ii)'!I52</f>
        <v>0</v>
      </c>
      <c r="E30" s="389">
        <f>'8. Medidas b).ii)'!J52</f>
        <v>0</v>
      </c>
      <c r="F30" s="389">
        <f>'8. Medidas b).ii)'!K52</f>
        <v>0</v>
      </c>
      <c r="G30" s="389">
        <f>'8. Medidas b).ii)'!L52</f>
        <v>0</v>
      </c>
      <c r="H30" s="389">
        <f>'8. Medidas b).ii)'!M52</f>
        <v>0</v>
      </c>
      <c r="I30" s="389">
        <f>'8. Medidas b).ii)'!N52</f>
        <v>0</v>
      </c>
      <c r="J30" s="389">
        <f>'8. Medidas b).ii)'!O52</f>
        <v>0</v>
      </c>
      <c r="K30" s="389">
        <f>'8. Medidas b).ii)'!P52</f>
        <v>0</v>
      </c>
      <c r="L30" s="389">
        <f>'8. Medidas b).ii)'!Q52</f>
        <v>0</v>
      </c>
      <c r="M30" s="389">
        <f>'8. Medidas b).ii)'!R52</f>
        <v>0</v>
      </c>
      <c r="N30" s="389">
        <f>'8. Medidas b).ii)'!S52</f>
        <v>0</v>
      </c>
      <c r="O30" s="389">
        <f>'8. Medidas b).ii)'!T52</f>
        <v>0</v>
      </c>
      <c r="P30" s="389">
        <f>'8. Medidas b).ii)'!U52</f>
        <v>0</v>
      </c>
      <c r="Q30" s="389">
        <f>'8. Medidas b).ii)'!V52</f>
        <v>0</v>
      </c>
      <c r="R30" s="389">
        <f>'8. Medidas b).ii)'!W52</f>
        <v>0</v>
      </c>
      <c r="S30" s="389">
        <f>'8. Medidas b).ii)'!X52</f>
        <v>0</v>
      </c>
      <c r="T30" s="389">
        <f>'8. Medidas b).ii)'!Y52</f>
        <v>0</v>
      </c>
      <c r="U30" s="389">
        <f>'8. Medidas b).ii)'!Z52</f>
        <v>0</v>
      </c>
      <c r="V30" s="389">
        <f>'8. Medidas b).ii)'!AA52</f>
        <v>0</v>
      </c>
      <c r="W30" s="389">
        <f>'8. Medidas b).ii)'!AB52</f>
        <v>0</v>
      </c>
      <c r="X30" s="389">
        <f>'8. Medidas b).ii)'!AC52</f>
        <v>0</v>
      </c>
      <c r="Y30" s="389">
        <f>'8. Medidas b).ii)'!AD52</f>
        <v>0</v>
      </c>
      <c r="Z30" s="389">
        <f>'8. Medidas b).ii)'!AE52</f>
        <v>0</v>
      </c>
      <c r="AA30" s="389">
        <f>'8. Medidas b).ii)'!AF52</f>
        <v>0</v>
      </c>
      <c r="AB30" s="389">
        <f>'8. Medidas b).ii)'!AG52</f>
        <v>0</v>
      </c>
      <c r="AC30" s="390">
        <f t="shared" si="4"/>
        <v>0</v>
      </c>
    </row>
    <row r="31" spans="2:29" ht="15" x14ac:dyDescent="0.25">
      <c r="B31" s="131"/>
      <c r="C31" s="185" t="s">
        <v>327</v>
      </c>
      <c r="D31" s="388">
        <f>'9. Medidas c)'!J67</f>
        <v>0</v>
      </c>
      <c r="E31" s="389">
        <f>'9. Medidas c)'!K67</f>
        <v>0</v>
      </c>
      <c r="F31" s="389">
        <f>'9. Medidas c)'!L67</f>
        <v>0</v>
      </c>
      <c r="G31" s="389">
        <f>'9. Medidas c)'!M67</f>
        <v>0</v>
      </c>
      <c r="H31" s="389">
        <f>'9. Medidas c)'!N67</f>
        <v>0</v>
      </c>
      <c r="I31" s="389">
        <f>'9. Medidas c)'!O67</f>
        <v>0</v>
      </c>
      <c r="J31" s="389">
        <f>'9. Medidas c)'!P67</f>
        <v>0</v>
      </c>
      <c r="K31" s="389">
        <f>'9. Medidas c)'!Q67</f>
        <v>0</v>
      </c>
      <c r="L31" s="389">
        <f>'9. Medidas c)'!R67</f>
        <v>0</v>
      </c>
      <c r="M31" s="389">
        <f>'9. Medidas c)'!S67</f>
        <v>0</v>
      </c>
      <c r="N31" s="389">
        <f>'9. Medidas c)'!T67</f>
        <v>0</v>
      </c>
      <c r="O31" s="389">
        <f>'9. Medidas c)'!U67</f>
        <v>0</v>
      </c>
      <c r="P31" s="389">
        <f>'9. Medidas c)'!V67</f>
        <v>0</v>
      </c>
      <c r="Q31" s="389">
        <f>'9. Medidas c)'!W67</f>
        <v>0</v>
      </c>
      <c r="R31" s="389">
        <f>'9. Medidas c)'!X67</f>
        <v>0</v>
      </c>
      <c r="S31" s="389">
        <f>'9. Medidas c)'!Y67</f>
        <v>0</v>
      </c>
      <c r="T31" s="389">
        <f>'9. Medidas c)'!Z67</f>
        <v>0</v>
      </c>
      <c r="U31" s="389">
        <f>'9. Medidas c)'!AA67</f>
        <v>0</v>
      </c>
      <c r="V31" s="389">
        <f>'9. Medidas c)'!AB67</f>
        <v>0</v>
      </c>
      <c r="W31" s="389">
        <f>'9. Medidas c)'!AC67</f>
        <v>0</v>
      </c>
      <c r="X31" s="389">
        <f>'9. Medidas c)'!AD67</f>
        <v>0</v>
      </c>
      <c r="Y31" s="389">
        <f>'9. Medidas c)'!AE67</f>
        <v>0</v>
      </c>
      <c r="Z31" s="389">
        <f>'9. Medidas c)'!AF67</f>
        <v>0</v>
      </c>
      <c r="AA31" s="389">
        <f>'9. Medidas c)'!AG67</f>
        <v>0</v>
      </c>
      <c r="AB31" s="389">
        <f>'9. Medidas c)'!AH67</f>
        <v>0</v>
      </c>
      <c r="AC31" s="390">
        <f t="shared" si="4"/>
        <v>0</v>
      </c>
    </row>
    <row r="32" spans="2:29" ht="15" thickBot="1" x14ac:dyDescent="0.35">
      <c r="B32" s="131"/>
      <c r="C32" s="191" t="s">
        <v>198</v>
      </c>
      <c r="D32" s="391">
        <f>SUM(D24:D31)</f>
        <v>0</v>
      </c>
      <c r="E32" s="392">
        <f t="shared" ref="E32:AB32" si="5">SUM(E24:E31)</f>
        <v>0</v>
      </c>
      <c r="F32" s="392">
        <f t="shared" si="5"/>
        <v>0</v>
      </c>
      <c r="G32" s="392">
        <f t="shared" si="5"/>
        <v>0</v>
      </c>
      <c r="H32" s="392">
        <f t="shared" si="5"/>
        <v>0</v>
      </c>
      <c r="I32" s="392">
        <f t="shared" si="5"/>
        <v>0</v>
      </c>
      <c r="J32" s="392">
        <f t="shared" si="5"/>
        <v>0</v>
      </c>
      <c r="K32" s="392">
        <f t="shared" si="5"/>
        <v>0</v>
      </c>
      <c r="L32" s="392">
        <f t="shared" si="5"/>
        <v>0</v>
      </c>
      <c r="M32" s="392">
        <f t="shared" si="5"/>
        <v>0</v>
      </c>
      <c r="N32" s="392">
        <f t="shared" si="5"/>
        <v>0</v>
      </c>
      <c r="O32" s="392">
        <f t="shared" si="5"/>
        <v>0</v>
      </c>
      <c r="P32" s="392">
        <f t="shared" si="5"/>
        <v>0</v>
      </c>
      <c r="Q32" s="392">
        <f t="shared" si="5"/>
        <v>0</v>
      </c>
      <c r="R32" s="392">
        <f t="shared" si="5"/>
        <v>0</v>
      </c>
      <c r="S32" s="392">
        <f t="shared" si="5"/>
        <v>0</v>
      </c>
      <c r="T32" s="392">
        <f t="shared" si="5"/>
        <v>0</v>
      </c>
      <c r="U32" s="392">
        <f t="shared" si="5"/>
        <v>0</v>
      </c>
      <c r="V32" s="392">
        <f t="shared" si="5"/>
        <v>0</v>
      </c>
      <c r="W32" s="392">
        <f t="shared" si="5"/>
        <v>0</v>
      </c>
      <c r="X32" s="392">
        <f t="shared" si="5"/>
        <v>0</v>
      </c>
      <c r="Y32" s="392">
        <f t="shared" si="5"/>
        <v>0</v>
      </c>
      <c r="Z32" s="392">
        <f t="shared" si="5"/>
        <v>0</v>
      </c>
      <c r="AA32" s="392">
        <f t="shared" si="5"/>
        <v>0</v>
      </c>
      <c r="AB32" s="392">
        <f t="shared" si="5"/>
        <v>0</v>
      </c>
      <c r="AC32" s="393">
        <f t="shared" ref="AC32" si="6">SUM(AC24:AC30)</f>
        <v>0</v>
      </c>
    </row>
    <row r="33" spans="2:29" ht="15.75" thickBot="1" x14ac:dyDescent="0.3">
      <c r="B33" s="133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5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7"/>
    </row>
    <row r="34" spans="2:29" ht="8.25" customHeight="1" x14ac:dyDescent="0.25">
      <c r="B34" s="113"/>
      <c r="C34" s="113"/>
      <c r="D34" s="113"/>
      <c r="E34" s="113"/>
      <c r="F34" s="113"/>
    </row>
    <row r="35" spans="2:29" ht="53.25" customHeight="1" thickBot="1" x14ac:dyDescent="0.35">
      <c r="B35" s="113"/>
      <c r="C35" s="1133" t="s">
        <v>29</v>
      </c>
      <c r="D35" s="1133"/>
      <c r="E35" s="113"/>
      <c r="F35" s="113"/>
    </row>
    <row r="36" spans="2:29" ht="24.75" customHeight="1" x14ac:dyDescent="0.25">
      <c r="B36" s="296"/>
      <c r="C36" s="104"/>
      <c r="D36" s="104"/>
      <c r="E36" s="104"/>
      <c r="F36" s="104"/>
      <c r="G36" s="104"/>
      <c r="H36" s="297"/>
    </row>
    <row r="37" spans="2:29" ht="41.25" customHeight="1" x14ac:dyDescent="0.25">
      <c r="B37" s="298"/>
      <c r="C37" s="1138" t="s">
        <v>226</v>
      </c>
      <c r="D37" s="1138"/>
      <c r="E37" s="1138"/>
      <c r="F37" s="1138"/>
      <c r="G37" s="1138"/>
      <c r="H37" s="299"/>
    </row>
    <row r="38" spans="2:29" ht="24.75" customHeight="1" thickBot="1" x14ac:dyDescent="0.3">
      <c r="B38" s="298"/>
      <c r="C38" s="113"/>
      <c r="D38" s="113"/>
      <c r="E38" s="113"/>
      <c r="F38" s="113"/>
      <c r="G38" s="113"/>
      <c r="H38" s="299"/>
    </row>
    <row r="39" spans="2:29" ht="31.5" customHeight="1" thickBot="1" x14ac:dyDescent="0.3">
      <c r="B39" s="298"/>
      <c r="C39" s="336" t="s">
        <v>461</v>
      </c>
      <c r="D39" s="755">
        <f>'2. Medidas a).i)'!E22+'3. Medidas a).ii)'!E22+'4. Medidas a).iii) Sistemas'!E22+'5. Medidas a).iii) Iluminação'!E22+'6. Medidas a).iv)'!E22+'7. Medidas b).i)'!E22+'8. Medidas b).ii)'!E22+'9. Medidas c)'!E27+'10. Medidas d)'!F19+'11. Outras despesas art. 7º'!F23</f>
        <v>0</v>
      </c>
      <c r="E39" s="113"/>
      <c r="F39" s="113"/>
      <c r="G39" s="113"/>
      <c r="H39" s="299"/>
      <c r="I39" s="118"/>
    </row>
    <row r="40" spans="2:29" ht="8.25" customHeight="1" x14ac:dyDescent="0.25">
      <c r="B40" s="298"/>
      <c r="C40" s="113"/>
      <c r="D40" s="113"/>
      <c r="E40" s="113"/>
      <c r="F40" s="113"/>
      <c r="G40" s="113"/>
      <c r="H40" s="299"/>
      <c r="I40" s="118"/>
    </row>
    <row r="41" spans="2:29" ht="16.5" customHeight="1" thickBot="1" x14ac:dyDescent="0.3">
      <c r="B41" s="298"/>
      <c r="C41" s="113" t="s">
        <v>73</v>
      </c>
      <c r="D41" s="113"/>
      <c r="E41" s="113"/>
      <c r="F41" s="113"/>
      <c r="G41" s="113"/>
      <c r="H41" s="299"/>
      <c r="I41" s="118"/>
    </row>
    <row r="42" spans="2:29" ht="15" x14ac:dyDescent="0.25">
      <c r="B42" s="298"/>
      <c r="C42" s="287" t="s">
        <v>70</v>
      </c>
      <c r="D42" s="750">
        <f>'2. Medidas a).i)'!E23</f>
        <v>0</v>
      </c>
      <c r="E42" s="113"/>
      <c r="F42" s="113"/>
      <c r="G42" s="113"/>
      <c r="H42" s="299"/>
      <c r="I42" s="118"/>
    </row>
    <row r="43" spans="2:29" ht="15" x14ac:dyDescent="0.25">
      <c r="B43" s="298"/>
      <c r="C43" s="288" t="s">
        <v>71</v>
      </c>
      <c r="D43" s="751">
        <f>'3. Medidas a).ii)'!E23</f>
        <v>0</v>
      </c>
      <c r="E43" s="214"/>
      <c r="F43" s="113"/>
      <c r="G43" s="113"/>
      <c r="H43" s="299"/>
      <c r="I43" s="118"/>
    </row>
    <row r="44" spans="2:29" ht="15" x14ac:dyDescent="0.25">
      <c r="B44" s="298"/>
      <c r="C44" s="288" t="s">
        <v>325</v>
      </c>
      <c r="D44" s="751">
        <f>'4. Medidas a).iii) Sistemas'!E23</f>
        <v>0</v>
      </c>
      <c r="E44" s="113"/>
      <c r="F44" s="113"/>
      <c r="G44" s="113"/>
      <c r="H44" s="299"/>
      <c r="I44" s="118"/>
    </row>
    <row r="45" spans="2:29" x14ac:dyDescent="0.3">
      <c r="B45" s="298"/>
      <c r="C45" s="288" t="s">
        <v>328</v>
      </c>
      <c r="D45" s="751">
        <f>'5. Medidas a).iii) Iluminação'!E23</f>
        <v>0</v>
      </c>
      <c r="E45" s="113"/>
      <c r="F45" s="113"/>
      <c r="G45" s="113"/>
      <c r="H45" s="299"/>
      <c r="I45" s="118"/>
    </row>
    <row r="46" spans="2:29" ht="15" x14ac:dyDescent="0.25">
      <c r="B46" s="298"/>
      <c r="C46" s="288" t="s">
        <v>72</v>
      </c>
      <c r="D46" s="752">
        <f>'6. Medidas a).iv)'!E23</f>
        <v>0</v>
      </c>
      <c r="E46" s="113"/>
      <c r="F46" s="113"/>
      <c r="G46" s="113"/>
      <c r="H46" s="299"/>
      <c r="I46" s="118"/>
    </row>
    <row r="47" spans="2:29" s="143" customFormat="1" ht="15" x14ac:dyDescent="0.25">
      <c r="B47" s="147"/>
      <c r="C47" s="289" t="s">
        <v>136</v>
      </c>
      <c r="D47" s="753">
        <f>'7. Medidas b).i)'!E23</f>
        <v>0</v>
      </c>
      <c r="E47" s="146"/>
      <c r="F47" s="146"/>
      <c r="G47" s="146"/>
      <c r="H47" s="299"/>
      <c r="I47" s="118"/>
      <c r="J47" s="174"/>
      <c r="K47" s="174"/>
    </row>
    <row r="48" spans="2:29" s="143" customFormat="1" ht="15" x14ac:dyDescent="0.25">
      <c r="B48" s="147"/>
      <c r="C48" s="371" t="s">
        <v>137</v>
      </c>
      <c r="D48" s="753">
        <f>'8. Medidas b).ii)'!E24</f>
        <v>0</v>
      </c>
      <c r="E48" s="146"/>
      <c r="F48" s="146"/>
      <c r="G48" s="146"/>
      <c r="H48" s="299"/>
      <c r="I48" s="118"/>
      <c r="J48" s="174"/>
      <c r="K48" s="174"/>
    </row>
    <row r="49" spans="2:11" s="143" customFormat="1" ht="19.5" customHeight="1" thickBot="1" x14ac:dyDescent="0.3">
      <c r="B49" s="147"/>
      <c r="C49" s="290" t="s">
        <v>74</v>
      </c>
      <c r="D49" s="754">
        <f>'9. Medidas c)'!E28</f>
        <v>0</v>
      </c>
      <c r="E49" s="146"/>
      <c r="F49" s="146"/>
      <c r="G49" s="146"/>
      <c r="H49" s="299"/>
      <c r="I49" s="118"/>
      <c r="J49" s="174"/>
      <c r="K49" s="174"/>
    </row>
    <row r="50" spans="2:11" s="143" customFormat="1" ht="19.5" customHeight="1" thickBot="1" x14ac:dyDescent="0.3">
      <c r="B50" s="147"/>
      <c r="C50" s="290" t="s">
        <v>329</v>
      </c>
      <c r="D50" s="754">
        <f>'10. Medidas d)'!F20</f>
        <v>0</v>
      </c>
      <c r="E50" s="146"/>
      <c r="F50" s="146"/>
      <c r="G50" s="146"/>
      <c r="H50" s="299"/>
      <c r="I50" s="118"/>
      <c r="J50" s="174"/>
      <c r="K50" s="174"/>
    </row>
    <row r="51" spans="2:11" s="143" customFormat="1" ht="35.25" customHeight="1" thickBot="1" x14ac:dyDescent="0.3">
      <c r="B51" s="147"/>
      <c r="C51" s="501" t="s">
        <v>330</v>
      </c>
      <c r="D51" s="755">
        <f>SUM(D42:D50)</f>
        <v>0</v>
      </c>
      <c r="E51" s="146"/>
      <c r="F51" s="146"/>
      <c r="G51" s="146"/>
      <c r="H51" s="299"/>
      <c r="I51" s="118"/>
      <c r="J51" s="174"/>
      <c r="K51" s="174"/>
    </row>
    <row r="52" spans="2:11" s="143" customFormat="1" ht="64.5" customHeight="1" thickBot="1" x14ac:dyDescent="0.35">
      <c r="B52" s="147"/>
      <c r="C52" s="207" t="s">
        <v>158</v>
      </c>
      <c r="D52" s="756">
        <f>'11. Outras despesas art. 7º'!F24</f>
        <v>0</v>
      </c>
      <c r="E52" s="1139" t="s">
        <v>452</v>
      </c>
      <c r="F52" s="1169"/>
      <c r="G52" s="1169"/>
      <c r="H52" s="1170"/>
      <c r="I52" s="383"/>
    </row>
    <row r="53" spans="2:11" s="143" customFormat="1" ht="43.5" customHeight="1" thickBot="1" x14ac:dyDescent="0.3">
      <c r="B53" s="147"/>
      <c r="C53" s="286" t="s">
        <v>154</v>
      </c>
      <c r="D53" s="757">
        <f>D51+D52</f>
        <v>0</v>
      </c>
      <c r="E53" s="568" t="e">
        <f>D53/D39</f>
        <v>#DIV/0!</v>
      </c>
      <c r="F53" s="560"/>
      <c r="G53" s="1160"/>
      <c r="H53" s="1161"/>
      <c r="I53" s="118"/>
      <c r="J53" s="174"/>
      <c r="K53" s="174"/>
    </row>
    <row r="54" spans="2:11" s="143" customFormat="1" ht="43.5" customHeight="1" thickBot="1" x14ac:dyDescent="0.35">
      <c r="B54" s="579"/>
      <c r="C54" s="571" t="s">
        <v>431</v>
      </c>
      <c r="D54" s="770" t="str">
        <f>IF(D53&lt;1000000,"N.A.",IF(D53*((D39-D19)/D39)&lt;0,0,D53*((D39-D19)/D39)))</f>
        <v>N.A.</v>
      </c>
      <c r="E54" s="146"/>
      <c r="F54" s="99"/>
      <c r="G54" s="559"/>
      <c r="H54" s="561"/>
      <c r="I54" s="118"/>
      <c r="J54" s="174"/>
      <c r="K54" s="174"/>
    </row>
    <row r="55" spans="2:11" s="143" customFormat="1" ht="18" customHeight="1" thickBot="1" x14ac:dyDescent="0.3">
      <c r="B55" s="300"/>
      <c r="C55" s="246"/>
      <c r="D55" s="246"/>
      <c r="E55" s="246"/>
      <c r="F55" s="246"/>
      <c r="G55" s="246"/>
      <c r="H55" s="553"/>
      <c r="I55" s="118"/>
      <c r="J55" s="174"/>
      <c r="K55" s="174"/>
    </row>
    <row r="56" spans="2:11" s="143" customFormat="1" ht="18" customHeight="1" x14ac:dyDescent="0.25">
      <c r="B56" s="301"/>
      <c r="C56" s="302"/>
      <c r="D56" s="302"/>
      <c r="E56" s="302"/>
      <c r="F56" s="302"/>
      <c r="G56" s="302"/>
      <c r="H56" s="297"/>
      <c r="I56" s="118"/>
      <c r="J56" s="174"/>
      <c r="K56" s="174"/>
    </row>
    <row r="57" spans="2:11" s="143" customFormat="1" ht="31.5" customHeight="1" x14ac:dyDescent="0.25">
      <c r="B57" s="147"/>
      <c r="C57" s="1129" t="s">
        <v>225</v>
      </c>
      <c r="D57" s="1129"/>
      <c r="E57" s="1129"/>
      <c r="F57" s="1129"/>
      <c r="G57" s="1129"/>
      <c r="H57" s="299"/>
      <c r="I57" s="118"/>
      <c r="J57" s="174"/>
      <c r="K57" s="174"/>
    </row>
    <row r="58" spans="2:11" s="143" customFormat="1" ht="32.25" customHeight="1" thickBot="1" x14ac:dyDescent="0.3">
      <c r="B58" s="147"/>
      <c r="C58" s="377"/>
      <c r="D58" s="377"/>
      <c r="E58" s="377"/>
      <c r="F58" s="377"/>
      <c r="G58" s="377"/>
      <c r="H58" s="299"/>
      <c r="I58" s="118"/>
      <c r="J58" s="174"/>
      <c r="K58" s="174"/>
    </row>
    <row r="59" spans="2:11" s="143" customFormat="1" ht="58.2" thickBot="1" x14ac:dyDescent="0.35">
      <c r="B59" s="147"/>
      <c r="C59" s="113"/>
      <c r="E59" s="740" t="s">
        <v>344</v>
      </c>
      <c r="F59" s="615" t="s">
        <v>441</v>
      </c>
      <c r="G59" s="741" t="s">
        <v>428</v>
      </c>
      <c r="H59" s="299"/>
      <c r="I59" s="118"/>
      <c r="J59" s="174"/>
      <c r="K59" s="174"/>
    </row>
    <row r="60" spans="2:11" s="143" customFormat="1" ht="69.75" customHeight="1" thickBot="1" x14ac:dyDescent="0.35">
      <c r="B60" s="147"/>
      <c r="C60" s="1155" t="s">
        <v>377</v>
      </c>
      <c r="D60" s="1156"/>
      <c r="E60" s="713"/>
      <c r="F60" s="582">
        <f>IF(E60="",0,VLOOKUP(E60,'16. Fatores de conversão'!A20:B24,2,FALSE))</f>
        <v>0</v>
      </c>
      <c r="G60" s="714"/>
      <c r="H60" s="299"/>
      <c r="I60" s="118"/>
      <c r="J60" s="174"/>
      <c r="K60" s="174"/>
    </row>
    <row r="61" spans="2:11" s="143" customFormat="1" ht="15" customHeight="1" thickBot="1" x14ac:dyDescent="0.3">
      <c r="B61" s="147"/>
      <c r="C61" s="197"/>
      <c r="D61" s="549"/>
      <c r="E61" s="549"/>
      <c r="F61" s="550"/>
      <c r="G61" s="583"/>
      <c r="H61" s="299"/>
      <c r="I61" s="118"/>
      <c r="J61" s="174"/>
      <c r="K61" s="174"/>
    </row>
    <row r="62" spans="2:11" s="143" customFormat="1" ht="15" customHeight="1" thickBot="1" x14ac:dyDescent="0.35">
      <c r="B62" s="147"/>
      <c r="C62" s="1152" t="s">
        <v>442</v>
      </c>
      <c r="D62" s="1168"/>
      <c r="E62" s="1153"/>
      <c r="F62" s="550"/>
      <c r="G62" s="583"/>
      <c r="H62" s="299"/>
      <c r="I62" s="118"/>
      <c r="J62" s="174"/>
      <c r="K62" s="174"/>
    </row>
    <row r="63" spans="2:11" s="143" customFormat="1" ht="15" customHeight="1" x14ac:dyDescent="0.3">
      <c r="B63" s="147"/>
      <c r="C63" s="1166" t="s">
        <v>432</v>
      </c>
      <c r="D63" s="1167"/>
      <c r="E63" s="767">
        <v>0.25</v>
      </c>
      <c r="F63" s="550"/>
      <c r="G63" s="583"/>
      <c r="H63" s="299"/>
      <c r="I63" s="118"/>
      <c r="J63" s="174"/>
      <c r="K63" s="174"/>
    </row>
    <row r="64" spans="2:11" s="143" customFormat="1" ht="15" customHeight="1" x14ac:dyDescent="0.3">
      <c r="B64" s="147"/>
      <c r="C64" s="1164" t="s">
        <v>402</v>
      </c>
      <c r="D64" s="1165"/>
      <c r="E64" s="768">
        <f>IF(AND(OR(D42&lt;&gt;0,D43&lt;&gt;0),OR(D44&lt;&gt;0,D45&lt;&gt;0,D46&lt;&gt;0,D47&lt;&gt;0,D48&lt;&gt;0)),0.05,0)</f>
        <v>0</v>
      </c>
      <c r="F64" s="550"/>
      <c r="G64" s="583"/>
      <c r="H64" s="299"/>
      <c r="I64" s="118"/>
      <c r="J64" s="174"/>
      <c r="K64" s="174"/>
    </row>
    <row r="65" spans="2:15" s="143" customFormat="1" ht="15" customHeight="1" x14ac:dyDescent="0.3">
      <c r="B65" s="147"/>
      <c r="C65" s="1164" t="s">
        <v>401</v>
      </c>
      <c r="D65" s="1165"/>
      <c r="E65" s="768">
        <f>IF(AND('1. Identificação Ben. Oper.'!D37="Superior a 40 anos",OR('1. Identificação Ben. Oper.'!D38="Interesse nacional",'1. Identificação Ben. Oper.'!D38="Interesse público",'1. Identificação Ben. Oper.'!D38="Interesse municipal")),0.2,0)</f>
        <v>0</v>
      </c>
      <c r="F65" s="550"/>
      <c r="G65" s="583"/>
      <c r="H65" s="299"/>
      <c r="I65" s="118"/>
      <c r="J65" s="174"/>
      <c r="K65" s="174"/>
    </row>
    <row r="66" spans="2:15" s="143" customFormat="1" ht="15" customHeight="1" x14ac:dyDescent="0.3">
      <c r="B66" s="147"/>
      <c r="C66" s="1164" t="s">
        <v>403</v>
      </c>
      <c r="D66" s="1165"/>
      <c r="E66" s="768">
        <f>IF('1. Identificação Ben. Oper.'!D78="C",0.05,0)</f>
        <v>0</v>
      </c>
      <c r="F66" s="550"/>
      <c r="G66" s="583"/>
      <c r="H66" s="299"/>
      <c r="I66" s="118"/>
      <c r="J66" s="174"/>
      <c r="K66" s="174"/>
    </row>
    <row r="67" spans="2:15" s="143" customFormat="1" ht="15" customHeight="1" x14ac:dyDescent="0.3">
      <c r="B67" s="147"/>
      <c r="C67" s="1164" t="s">
        <v>404</v>
      </c>
      <c r="D67" s="1165"/>
      <c r="E67" s="768">
        <f>IF(OR('1. Identificação Ben. Oper.'!D78="B-",'1. Identificação Ben. Oper.'!D78="B"),0.15,0)</f>
        <v>0</v>
      </c>
      <c r="F67" s="550"/>
      <c r="G67" s="583"/>
      <c r="H67" s="299"/>
      <c r="I67" s="118"/>
      <c r="J67" s="174"/>
      <c r="K67" s="174"/>
    </row>
    <row r="68" spans="2:15" s="143" customFormat="1" ht="15" customHeight="1" thickBot="1" x14ac:dyDescent="0.35">
      <c r="B68" s="147"/>
      <c r="C68" s="1162" t="s">
        <v>405</v>
      </c>
      <c r="D68" s="1163"/>
      <c r="E68" s="769">
        <f>IF(OR('1. Identificação Ben. Oper.'!D78="A",'1. Identificação Ben. Oper.'!D78="A+"),0.2,0)</f>
        <v>0</v>
      </c>
      <c r="F68" s="550"/>
      <c r="G68" s="583"/>
      <c r="H68" s="299"/>
      <c r="I68" s="118"/>
      <c r="J68" s="174"/>
      <c r="K68" s="174"/>
    </row>
    <row r="69" spans="2:15" s="143" customFormat="1" ht="15" customHeight="1" thickBot="1" x14ac:dyDescent="0.35">
      <c r="B69" s="147"/>
      <c r="C69" s="1155" t="s">
        <v>414</v>
      </c>
      <c r="D69" s="1159"/>
      <c r="E69" s="580">
        <f>IF(MAXA(E63+E64+E66+E67+E68,E63+E65)&gt;0.5,0.5,MAXA(E63+E64+E66+E67+E68,E63+E65))</f>
        <v>0.25</v>
      </c>
      <c r="F69" s="550"/>
      <c r="G69" s="583"/>
      <c r="H69" s="299"/>
      <c r="I69" s="118"/>
      <c r="J69" s="174"/>
      <c r="K69" s="174"/>
    </row>
    <row r="70" spans="2:15" s="143" customFormat="1" ht="15" x14ac:dyDescent="0.25">
      <c r="B70" s="147"/>
      <c r="C70" s="14"/>
      <c r="D70" s="146"/>
      <c r="E70" s="146"/>
      <c r="F70" s="146"/>
      <c r="G70" s="146"/>
      <c r="H70" s="303"/>
      <c r="J70" s="174"/>
      <c r="K70" s="174"/>
    </row>
    <row r="71" spans="2:15" s="143" customFormat="1" ht="34.5" customHeight="1" thickBot="1" x14ac:dyDescent="0.35">
      <c r="B71" s="147"/>
      <c r="C71" s="1137" t="s">
        <v>227</v>
      </c>
      <c r="D71" s="1137"/>
      <c r="E71" s="1136" t="s">
        <v>228</v>
      </c>
      <c r="F71" s="1136"/>
      <c r="G71" s="1136"/>
      <c r="H71" s="299"/>
      <c r="I71" s="118"/>
      <c r="J71" s="174"/>
      <c r="K71" s="174"/>
    </row>
    <row r="72" spans="2:15" s="143" customFormat="1" ht="34.5" customHeight="1" thickBot="1" x14ac:dyDescent="0.35">
      <c r="B72" s="147"/>
      <c r="C72" s="285" t="s">
        <v>169</v>
      </c>
      <c r="D72" s="766" t="str">
        <f>IF(D78="Projeto Não Elegível!",0,IF(AND(D42=0,D43=0,D46=0),"Não é possível aplicar esta modalidade",IF(D54="N.A.",(D53-D50)*E69+(D50*F60),IF(((AC14/D39))&lt;=0,0,(D54)*F60))))</f>
        <v>Não é possível aplicar esta modalidade</v>
      </c>
      <c r="E72" s="1134" t="s">
        <v>169</v>
      </c>
      <c r="F72" s="1135"/>
      <c r="G72" s="766" t="str">
        <f>IF(D78="Projeto Não Elegível!",0,IF(AND(D42=0,D43=0,D46=0),"Não é possível aplicar esta modalidade",IF(D72&gt;G60,G60,D72)))</f>
        <v>Não é possível aplicar esta modalidade</v>
      </c>
      <c r="H72" s="299"/>
      <c r="I72" s="118"/>
      <c r="J72" s="174"/>
      <c r="K72" s="174"/>
    </row>
    <row r="73" spans="2:15" s="143" customFormat="1" ht="34.5" customHeight="1" thickBot="1" x14ac:dyDescent="0.35">
      <c r="B73" s="147"/>
      <c r="C73" s="291"/>
      <c r="D73" s="556"/>
      <c r="E73" s="291"/>
      <c r="F73" s="291"/>
      <c r="G73" s="556"/>
      <c r="H73" s="299"/>
      <c r="I73" s="118"/>
      <c r="J73" s="174"/>
      <c r="K73" s="174"/>
    </row>
    <row r="74" spans="2:15" s="143" customFormat="1" ht="30" customHeight="1" x14ac:dyDescent="0.3">
      <c r="B74" s="301"/>
      <c r="C74" s="307"/>
      <c r="D74" s="558"/>
      <c r="E74" s="307"/>
      <c r="F74" s="307"/>
      <c r="G74" s="558"/>
      <c r="H74" s="297"/>
      <c r="I74" s="118"/>
      <c r="J74" s="174"/>
      <c r="K74" s="174"/>
    </row>
    <row r="75" spans="2:15" s="143" customFormat="1" ht="30" customHeight="1" x14ac:dyDescent="0.3">
      <c r="B75" s="147"/>
      <c r="C75" s="1129" t="s">
        <v>411</v>
      </c>
      <c r="D75" s="1129"/>
      <c r="E75" s="1129"/>
      <c r="F75" s="1129"/>
      <c r="G75" s="1129"/>
      <c r="H75" s="299"/>
      <c r="I75" s="118"/>
      <c r="J75" s="174"/>
      <c r="K75" s="174"/>
    </row>
    <row r="76" spans="2:15" s="143" customFormat="1" ht="30" customHeight="1" thickBot="1" x14ac:dyDescent="0.35">
      <c r="B76" s="147"/>
      <c r="C76" s="291"/>
      <c r="D76" s="291"/>
      <c r="E76" s="291"/>
      <c r="F76" s="291"/>
      <c r="G76" s="291"/>
      <c r="H76" s="309"/>
      <c r="I76" s="291"/>
      <c r="J76" s="291"/>
      <c r="K76" s="174"/>
    </row>
    <row r="77" spans="2:15" s="143" customFormat="1" ht="30" customHeight="1" thickBot="1" x14ac:dyDescent="0.35">
      <c r="B77" s="147"/>
      <c r="C77" s="146"/>
      <c r="D77" s="1130" t="s">
        <v>410</v>
      </c>
      <c r="E77" s="1131"/>
      <c r="F77" s="291"/>
      <c r="G77" s="291"/>
      <c r="H77" s="309"/>
      <c r="I77" s="291"/>
      <c r="J77" s="291"/>
      <c r="K77" s="174"/>
    </row>
    <row r="78" spans="2:15" ht="30" customHeight="1" thickBot="1" x14ac:dyDescent="0.35">
      <c r="B78" s="298"/>
      <c r="C78" s="555" t="s">
        <v>409</v>
      </c>
      <c r="D78" s="554" t="str">
        <f>IF(AND('13. Indicadores'!F19=0,'13. Indicadores'!F20=0),"",IF(E78&gt;=30%,"Projeto Elegível","Projeto Não Elegível!"))</f>
        <v/>
      </c>
      <c r="E78" s="765" t="str">
        <f>IF(AND('1. Identificação Ben. Oper.'!D53=0,'1. Identificação Ben. Oper.'!D107=0),"",('13. Indicadores'!F19+'13. Indicadores'!F20)/('1. Identificação Ben. Oper.'!D53+'1. Identificação Ben. Oper.'!D107))</f>
        <v/>
      </c>
      <c r="F78" s="113"/>
      <c r="G78" s="113"/>
      <c r="H78" s="299"/>
      <c r="I78" s="216"/>
      <c r="J78" s="216"/>
      <c r="K78" s="216"/>
      <c r="L78" s="214"/>
      <c r="M78" s="113"/>
      <c r="N78" s="113"/>
      <c r="O78" s="113"/>
    </row>
    <row r="79" spans="2:15" ht="30" customHeight="1" x14ac:dyDescent="0.3">
      <c r="B79" s="298"/>
      <c r="C79" s="284"/>
      <c r="D79" s="113"/>
      <c r="E79" s="113"/>
      <c r="F79" s="113"/>
      <c r="G79" s="113"/>
      <c r="H79" s="299"/>
    </row>
    <row r="80" spans="2:15" ht="30" customHeight="1" thickBot="1" x14ac:dyDescent="0.35">
      <c r="B80" s="311"/>
      <c r="C80" s="136"/>
      <c r="D80" s="136"/>
      <c r="E80" s="136"/>
      <c r="F80" s="136"/>
      <c r="G80" s="136"/>
      <c r="H80" s="137"/>
    </row>
  </sheetData>
  <sheetProtection algorithmName="SHA-512" hashValue="6840x8Ol5Lk8FP9cJ9mnF48+/TupZhXNQRHwmV3fBUsRAq5MnOnX2I2uMu9R8+/LG93QPl6BE/Ocul5irovzbg==" saltValue="tqvIUArrpJDc8+r0GGwfsA==" spinCount="100000" sheet="1" objects="1" scenarios="1" insertRows="0" selectLockedCells="1"/>
  <mergeCells count="22">
    <mergeCell ref="AD4:AD5"/>
    <mergeCell ref="D21:AC21"/>
    <mergeCell ref="C35:D35"/>
    <mergeCell ref="C37:G37"/>
    <mergeCell ref="E52:H52"/>
    <mergeCell ref="D2:AC2"/>
    <mergeCell ref="G53:H53"/>
    <mergeCell ref="C68:D68"/>
    <mergeCell ref="C57:G57"/>
    <mergeCell ref="C60:D60"/>
    <mergeCell ref="C64:D64"/>
    <mergeCell ref="C65:D65"/>
    <mergeCell ref="C66:D66"/>
    <mergeCell ref="C67:D67"/>
    <mergeCell ref="C63:D63"/>
    <mergeCell ref="C62:E62"/>
    <mergeCell ref="D77:E77"/>
    <mergeCell ref="C75:G75"/>
    <mergeCell ref="C69:D69"/>
    <mergeCell ref="E72:F72"/>
    <mergeCell ref="C71:D71"/>
    <mergeCell ref="E71:G71"/>
  </mergeCells>
  <conditionalFormatting sqref="D15:AB15 D19">
    <cfRule type="cellIs" dxfId="15" priority="11" operator="equal">
      <formula>0</formula>
    </cfRule>
  </conditionalFormatting>
  <conditionalFormatting sqref="D14:AB14">
    <cfRule type="cellIs" dxfId="14" priority="8" operator="equal">
      <formula>0</formula>
    </cfRule>
  </conditionalFormatting>
  <conditionalFormatting sqref="G54">
    <cfRule type="containsText" dxfId="13" priority="5" operator="containsText" text="Projeto Não Elegível!">
      <formula>NOT(ISERROR(SEARCH("Projeto Não Elegível!",G54)))</formula>
    </cfRule>
    <cfRule type="containsText" dxfId="12" priority="6" operator="containsText" text="Projeto Elegível">
      <formula>NOT(ISERROR(SEARCH("Projeto Elegível",G54)))</formula>
    </cfRule>
  </conditionalFormatting>
  <conditionalFormatting sqref="D78">
    <cfRule type="containsText" dxfId="11" priority="3" operator="containsText" text="Projeto Não Elegível!">
      <formula>NOT(ISERROR(SEARCH("Projeto Não Elegível!",D78)))</formula>
    </cfRule>
    <cfRule type="containsText" dxfId="10" priority="4" operator="containsText" text="Projeto Elegível">
      <formula>NOT(ISERROR(SEARCH("Projeto Elegível",D78)))</formula>
    </cfRule>
  </conditionalFormatting>
  <conditionalFormatting sqref="D17:D18">
    <cfRule type="cellIs" dxfId="9" priority="2" operator="equal">
      <formula>0</formula>
    </cfRule>
  </conditionalFormatting>
  <conditionalFormatting sqref="E18:AB18">
    <cfRule type="cellIs" dxfId="8" priority="1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E53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'16. Fatores de conversão'!$C$19:$C$24</xm:f>
          </x14:formula1>
          <xm:sqref>E60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V25"/>
  <sheetViews>
    <sheetView showGridLines="0" zoomScaleNormal="100" workbookViewId="0">
      <selection activeCell="M14" sqref="M14"/>
    </sheetView>
  </sheetViews>
  <sheetFormatPr defaultColWidth="9.109375" defaultRowHeight="12.6" x14ac:dyDescent="0.25"/>
  <cols>
    <col min="1" max="1" width="2.109375" style="445" customWidth="1"/>
    <col min="2" max="2" width="11.6640625" style="445" customWidth="1"/>
    <col min="3" max="4" width="17.6640625" style="445" customWidth="1"/>
    <col min="5" max="5" width="11.6640625" style="445" customWidth="1"/>
    <col min="6" max="6" width="14.88671875" style="445" customWidth="1"/>
    <col min="7" max="7" width="12.33203125" style="445" customWidth="1"/>
    <col min="8" max="9" width="16.109375" style="445" customWidth="1"/>
    <col min="10" max="10" width="16.33203125" style="445" customWidth="1"/>
    <col min="11" max="11" width="17.44140625" style="445" customWidth="1"/>
    <col min="12" max="14" width="16.5546875" style="445" customWidth="1"/>
    <col min="15" max="16" width="12.6640625" style="445" customWidth="1"/>
    <col min="17" max="17" width="31.33203125" style="445" customWidth="1"/>
    <col min="18" max="18" width="42.44140625" style="445" customWidth="1"/>
    <col min="19" max="19" width="1.6640625" style="445" customWidth="1"/>
    <col min="20" max="20" width="14" style="445" customWidth="1"/>
    <col min="21" max="22" width="12.6640625" style="445" customWidth="1"/>
    <col min="23" max="16384" width="9.109375" style="445"/>
  </cols>
  <sheetData>
    <row r="1" spans="1:22" s="395" customFormat="1" ht="12.75" x14ac:dyDescent="0.2">
      <c r="B1" s="1186"/>
      <c r="C1" s="1186"/>
      <c r="D1" s="1186"/>
      <c r="E1" s="1186"/>
      <c r="F1" s="1186"/>
      <c r="G1" s="1186"/>
      <c r="H1" s="1186"/>
      <c r="I1" s="1186"/>
      <c r="J1" s="1186"/>
      <c r="K1" s="1186"/>
      <c r="L1" s="1186"/>
      <c r="M1" s="494"/>
      <c r="N1" s="494"/>
      <c r="O1" s="394"/>
    </row>
    <row r="2" spans="1:22" s="395" customFormat="1" ht="13.8" x14ac:dyDescent="0.25">
      <c r="B2" s="442" t="s">
        <v>347</v>
      </c>
      <c r="C2" s="443"/>
      <c r="D2" s="444" t="s">
        <v>348</v>
      </c>
      <c r="E2" s="446"/>
      <c r="F2" s="446"/>
      <c r="G2" s="446"/>
      <c r="H2" s="447"/>
      <c r="I2" s="447"/>
      <c r="J2" s="447"/>
      <c r="K2" s="447"/>
      <c r="L2" s="448"/>
      <c r="M2" s="495"/>
      <c r="N2" s="495"/>
      <c r="O2" s="396"/>
    </row>
    <row r="3" spans="1:22" s="395" customFormat="1" ht="12.75" x14ac:dyDescent="0.2">
      <c r="B3" s="442"/>
      <c r="C3" s="443"/>
      <c r="D3" s="444"/>
      <c r="E3" s="446"/>
      <c r="F3" s="446"/>
      <c r="G3" s="446"/>
      <c r="H3" s="447"/>
      <c r="I3" s="447"/>
      <c r="J3" s="447"/>
      <c r="K3" s="447"/>
      <c r="L3" s="448"/>
      <c r="M3" s="495"/>
      <c r="N3" s="495"/>
      <c r="O3" s="396"/>
    </row>
    <row r="4" spans="1:22" s="395" customFormat="1" ht="13.8" x14ac:dyDescent="0.25">
      <c r="B4" s="442" t="s">
        <v>349</v>
      </c>
      <c r="C4" s="443"/>
      <c r="D4" s="444" t="s">
        <v>350</v>
      </c>
      <c r="E4" s="446"/>
      <c r="F4" s="446"/>
      <c r="G4" s="446"/>
      <c r="H4" s="449"/>
      <c r="I4" s="449"/>
      <c r="J4" s="449"/>
      <c r="K4" s="450"/>
      <c r="L4" s="451"/>
      <c r="M4" s="496"/>
      <c r="N4" s="496"/>
      <c r="O4" s="397"/>
      <c r="P4" s="395" t="s">
        <v>351</v>
      </c>
    </row>
    <row r="5" spans="1:22" s="395" customFormat="1" ht="13.8" x14ac:dyDescent="0.25">
      <c r="B5" s="442" t="s">
        <v>373</v>
      </c>
      <c r="C5" s="443"/>
      <c r="D5" s="444" t="s">
        <v>352</v>
      </c>
      <c r="E5" s="443"/>
      <c r="F5" s="443"/>
      <c r="G5" s="443"/>
      <c r="H5" s="443"/>
      <c r="I5" s="443"/>
      <c r="J5" s="443"/>
      <c r="K5" s="443"/>
      <c r="L5" s="443"/>
      <c r="M5" s="497"/>
      <c r="N5" s="497"/>
      <c r="O5" s="398"/>
      <c r="P5" s="395" t="s">
        <v>353</v>
      </c>
      <c r="Q5" s="398"/>
      <c r="R5" s="398"/>
      <c r="S5" s="398"/>
      <c r="T5" s="398"/>
      <c r="U5" s="398"/>
      <c r="V5" s="398"/>
    </row>
    <row r="6" spans="1:22" s="395" customFormat="1" ht="13.8" x14ac:dyDescent="0.25">
      <c r="B6" s="452" t="s">
        <v>354</v>
      </c>
      <c r="C6" s="447"/>
      <c r="D6" s="453" t="s">
        <v>367</v>
      </c>
      <c r="E6" s="446"/>
      <c r="F6" s="446"/>
      <c r="G6" s="446"/>
      <c r="H6" s="449"/>
      <c r="I6" s="449"/>
      <c r="J6" s="449"/>
      <c r="K6" s="446"/>
      <c r="L6" s="454"/>
      <c r="M6" s="498"/>
      <c r="N6" s="498"/>
      <c r="O6" s="399"/>
    </row>
    <row r="7" spans="1:22" s="395" customFormat="1" ht="12.75" x14ac:dyDescent="0.2">
      <c r="A7" s="445"/>
      <c r="B7" s="456"/>
      <c r="C7" s="456"/>
      <c r="D7" s="723"/>
      <c r="E7" s="723"/>
      <c r="F7" s="723"/>
      <c r="G7" s="723"/>
      <c r="H7" s="723"/>
      <c r="I7" s="723"/>
      <c r="J7" s="723"/>
      <c r="K7" s="445"/>
      <c r="L7" s="445"/>
    </row>
    <row r="8" spans="1:22" s="395" customFormat="1" ht="13.8" x14ac:dyDescent="0.3">
      <c r="A8" s="445"/>
      <c r="B8" s="727" t="s">
        <v>355</v>
      </c>
      <c r="C8" s="728"/>
      <c r="D8" s="1187" t="str">
        <f>IF('1. Identificação Ben. Oper.'!D12="","",'1. Identificação Ben. Oper.'!D12)</f>
        <v/>
      </c>
      <c r="E8" s="1188"/>
      <c r="F8" s="724"/>
      <c r="G8" s="725"/>
      <c r="H8" s="726" t="s">
        <v>356</v>
      </c>
      <c r="I8" s="1189" t="str">
        <f>IF('1. Identificação Ben. Oper.'!D4="","",'1. Identificação Ben. Oper.'!D4)</f>
        <v/>
      </c>
      <c r="J8" s="1190"/>
      <c r="K8" s="445"/>
      <c r="L8" s="721"/>
      <c r="M8" s="400"/>
      <c r="N8" s="400"/>
    </row>
    <row r="9" spans="1:22" s="395" customFormat="1" ht="12.75" x14ac:dyDescent="0.2">
      <c r="A9" s="445"/>
      <c r="B9" s="729"/>
      <c r="C9" s="455"/>
      <c r="D9" s="721"/>
      <c r="E9" s="721"/>
      <c r="F9" s="721"/>
      <c r="G9" s="721"/>
      <c r="H9" s="722"/>
      <c r="I9" s="722"/>
      <c r="J9" s="721"/>
      <c r="K9" s="721"/>
      <c r="L9" s="721"/>
      <c r="M9" s="400"/>
      <c r="N9" s="400"/>
    </row>
    <row r="10" spans="1:22" s="395" customFormat="1" ht="13.8" x14ac:dyDescent="0.25">
      <c r="A10" s="445"/>
      <c r="B10" s="730" t="s">
        <v>357</v>
      </c>
      <c r="C10" s="731"/>
      <c r="D10" s="733"/>
      <c r="E10" s="1191" t="str">
        <f>IF(AND('1. Identificação Ben. Oper.'!D22="",'1. Identificação Ben. Oper.'!D88=""),"",(IF('1. Identificação Ben. Oper.'!D22&lt;&gt;"",'1. Identificação Ben. Oper.'!D22,IF('1. Identificação Ben. Oper.'!D88&lt;&gt;"",'1. Identificação Ben. Oper.'!D88,""))))</f>
        <v/>
      </c>
      <c r="F10" s="1192"/>
      <c r="G10" s="1192"/>
      <c r="H10" s="1192"/>
      <c r="I10" s="1192"/>
      <c r="J10" s="1193"/>
      <c r="K10" s="735"/>
      <c r="L10" s="736"/>
      <c r="M10" s="401"/>
      <c r="N10" s="401"/>
      <c r="O10" s="401"/>
      <c r="P10" s="401"/>
      <c r="Q10" s="401"/>
    </row>
    <row r="11" spans="1:22" s="395" customFormat="1" ht="12.75" x14ac:dyDescent="0.2">
      <c r="A11" s="445"/>
      <c r="B11" s="732"/>
      <c r="C11" s="456"/>
      <c r="D11" s="717"/>
      <c r="E11" s="717"/>
      <c r="F11" s="717"/>
      <c r="G11" s="717"/>
      <c r="H11" s="718"/>
      <c r="I11" s="719"/>
      <c r="J11" s="720"/>
      <c r="K11" s="717"/>
      <c r="L11" s="717"/>
      <c r="M11" s="402"/>
      <c r="N11" s="402"/>
    </row>
    <row r="12" spans="1:22" s="395" customFormat="1" ht="13.8" x14ac:dyDescent="0.25">
      <c r="A12" s="445"/>
      <c r="B12" s="730" t="s">
        <v>358</v>
      </c>
      <c r="C12" s="731"/>
      <c r="D12" s="734"/>
      <c r="E12" s="1191" t="str">
        <f>IF('1. Identificação Ben. Oper.'!D5="","",'1. Identificação Ben. Oper.'!D5)</f>
        <v/>
      </c>
      <c r="F12" s="1192"/>
      <c r="G12" s="1192"/>
      <c r="H12" s="1192"/>
      <c r="I12" s="1192"/>
      <c r="J12" s="1193"/>
      <c r="K12" s="737"/>
      <c r="L12" s="736"/>
      <c r="M12" s="401"/>
      <c r="N12" s="401"/>
      <c r="O12" s="401"/>
      <c r="P12" s="401"/>
      <c r="Q12" s="401"/>
    </row>
    <row r="13" spans="1:22" s="395" customFormat="1" ht="12.75" x14ac:dyDescent="0.2">
      <c r="A13" s="445"/>
      <c r="B13" s="455"/>
      <c r="C13" s="455"/>
      <c r="D13" s="445"/>
      <c r="E13" s="445"/>
      <c r="F13" s="445"/>
      <c r="G13" s="445"/>
      <c r="H13" s="445"/>
      <c r="I13" s="445"/>
      <c r="J13" s="445"/>
      <c r="K13" s="445"/>
      <c r="L13" s="445"/>
      <c r="O13" s="404"/>
    </row>
    <row r="14" spans="1:22" s="395" customFormat="1" ht="12.75" x14ac:dyDescent="0.2">
      <c r="A14" s="445"/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</row>
    <row r="15" spans="1:22" s="395" customFormat="1" ht="18.75" x14ac:dyDescent="0.2">
      <c r="A15" s="445"/>
      <c r="B15" s="455"/>
      <c r="C15" s="455"/>
      <c r="D15" s="456"/>
      <c r="E15" s="456"/>
      <c r="F15" s="456"/>
      <c r="G15" s="456"/>
      <c r="H15" s="456"/>
      <c r="I15" s="456"/>
      <c r="J15" s="456"/>
      <c r="K15" s="1176"/>
      <c r="L15" s="1176"/>
      <c r="M15" s="412"/>
      <c r="N15" s="412"/>
      <c r="S15" s="405"/>
      <c r="T15" s="405"/>
      <c r="U15" s="405"/>
      <c r="V15" s="405"/>
    </row>
    <row r="16" spans="1:22" s="395" customFormat="1" ht="18.75" x14ac:dyDescent="0.2">
      <c r="B16" s="1181" t="s">
        <v>389</v>
      </c>
      <c r="C16" s="1181"/>
      <c r="D16" s="1181"/>
      <c r="E16" s="1181"/>
      <c r="F16" s="1181"/>
      <c r="G16" s="1181"/>
      <c r="H16" s="1181"/>
      <c r="I16" s="1181"/>
      <c r="J16" s="1181"/>
      <c r="K16" s="1181"/>
      <c r="L16" s="1181"/>
      <c r="M16" s="412"/>
      <c r="N16" s="412"/>
      <c r="O16" s="405"/>
      <c r="P16" s="405"/>
      <c r="Q16" s="405"/>
      <c r="R16" s="405"/>
      <c r="S16" s="405"/>
      <c r="T16" s="405"/>
      <c r="U16" s="405"/>
      <c r="V16" s="405"/>
    </row>
    <row r="17" spans="2:22" s="395" customFormat="1" ht="12.75" x14ac:dyDescent="0.2">
      <c r="B17" s="445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03"/>
      <c r="N17" s="403"/>
    </row>
    <row r="18" spans="2:22" s="406" customFormat="1" ht="25.2" x14ac:dyDescent="0.3">
      <c r="B18" s="457" t="s">
        <v>359</v>
      </c>
      <c r="C18" s="1177" t="s">
        <v>386</v>
      </c>
      <c r="D18" s="1178"/>
      <c r="E18" s="457" t="s">
        <v>360</v>
      </c>
      <c r="F18" s="457" t="s">
        <v>361</v>
      </c>
      <c r="G18" s="457" t="s">
        <v>362</v>
      </c>
      <c r="H18" s="457" t="s">
        <v>363</v>
      </c>
      <c r="I18" s="457" t="s">
        <v>364</v>
      </c>
      <c r="J18" s="1177" t="s">
        <v>372</v>
      </c>
      <c r="K18" s="1182"/>
      <c r="L18" s="1178"/>
      <c r="M18" s="411"/>
      <c r="N18" s="411"/>
      <c r="S18" s="407"/>
    </row>
    <row r="19" spans="2:22" s="399" customFormat="1" ht="41.25" customHeight="1" x14ac:dyDescent="0.3">
      <c r="B19" s="832" t="s">
        <v>365</v>
      </c>
      <c r="C19" s="1179" t="s">
        <v>366</v>
      </c>
      <c r="D19" s="1180"/>
      <c r="E19" s="833" t="s">
        <v>459</v>
      </c>
      <c r="F19" s="771">
        <f>('2. Medidas a).i)'!Y21+'3. Medidas a).ii)'!Y21+'4. Medidas a).iii) Sistemas'!Z21+'5. Medidas a).iii) Iluminação'!Y21+'6. Medidas a).iv)'!Y20+'7. Medidas b).i)'!Z21+'8. Medidas b).ii)'!Y21-'4. Medidas a).iii) Sistemas'!W22)</f>
        <v>0</v>
      </c>
      <c r="G19" s="715"/>
      <c r="H19" s="716" t="s">
        <v>351</v>
      </c>
      <c r="I19" s="716" t="s">
        <v>351</v>
      </c>
      <c r="J19" s="1173"/>
      <c r="K19" s="1174"/>
      <c r="L19" s="1175"/>
      <c r="M19" s="409"/>
      <c r="N19" s="409"/>
      <c r="S19" s="408"/>
    </row>
    <row r="20" spans="2:22" s="399" customFormat="1" ht="41.25" customHeight="1" x14ac:dyDescent="0.3">
      <c r="B20" s="834" t="s">
        <v>369</v>
      </c>
      <c r="C20" s="1179" t="s">
        <v>368</v>
      </c>
      <c r="D20" s="1180"/>
      <c r="E20" s="833" t="s">
        <v>459</v>
      </c>
      <c r="F20" s="772">
        <f>'9. Medidas c)'!Z26</f>
        <v>0</v>
      </c>
      <c r="G20" s="715"/>
      <c r="H20" s="716" t="s">
        <v>351</v>
      </c>
      <c r="I20" s="716" t="s">
        <v>351</v>
      </c>
      <c r="J20" s="1173"/>
      <c r="K20" s="1174"/>
      <c r="L20" s="1175"/>
      <c r="M20" s="409"/>
      <c r="N20" s="409"/>
    </row>
    <row r="21" spans="2:22" s="399" customFormat="1" ht="41.25" customHeight="1" x14ac:dyDescent="0.3">
      <c r="B21" s="835" t="s">
        <v>44</v>
      </c>
      <c r="C21" s="1171" t="s">
        <v>370</v>
      </c>
      <c r="D21" s="1172"/>
      <c r="E21" s="833" t="s">
        <v>459</v>
      </c>
      <c r="F21" s="772">
        <f>IF('1. Identificação Ben. Oper.'!D53-('2. Medidas a).i)'!Y21+'3. Medidas a).ii)'!Y21+'4. Medidas a).iii) Sistemas'!Z21+'5. Medidas a).iii) Iluminação'!Y21+'6. Medidas a).iv)'!Y20+'7. Medidas b).i)'!Z21+'8. Medidas b).ii)'!Y21-'4. Medidas a).iii) Sistemas'!W22)&lt;0,0,('1. Identificação Ben. Oper.'!D53-('2. Medidas a).i)'!Y21+'3. Medidas a).ii)'!Y21+'4. Medidas a).iii) Sistemas'!Z21+'5. Medidas a).iii) Iluminação'!Y21+'6. Medidas a).iv)'!Y20+'7. Medidas b).i)'!Z21+'8. Medidas b).ii)'!Y21-'4. Medidas a).iii) Sistemas'!W22)))</f>
        <v>0</v>
      </c>
      <c r="G21" s="715"/>
      <c r="H21" s="716" t="s">
        <v>351</v>
      </c>
      <c r="I21" s="716" t="s">
        <v>351</v>
      </c>
      <c r="J21" s="1183"/>
      <c r="K21" s="1184"/>
      <c r="L21" s="1185"/>
      <c r="M21" s="410"/>
      <c r="N21" s="410"/>
    </row>
    <row r="22" spans="2:22" s="399" customFormat="1" ht="41.25" customHeight="1" x14ac:dyDescent="0.3">
      <c r="B22" s="835" t="s">
        <v>44</v>
      </c>
      <c r="C22" s="1171" t="s">
        <v>371</v>
      </c>
      <c r="D22" s="1172"/>
      <c r="E22" s="833" t="s">
        <v>459</v>
      </c>
      <c r="F22" s="772">
        <f>('9. Medidas c)'!O26-'9. Medidas c)'!W26)*'16. Fatores de conversão'!C6</f>
        <v>0</v>
      </c>
      <c r="G22" s="715"/>
      <c r="H22" s="716" t="s">
        <v>351</v>
      </c>
      <c r="I22" s="716" t="s">
        <v>351</v>
      </c>
      <c r="J22" s="1173"/>
      <c r="K22" s="1174"/>
      <c r="L22" s="1175"/>
      <c r="M22" s="409"/>
      <c r="N22" s="409"/>
    </row>
    <row r="23" spans="2:22" s="399" customFormat="1" ht="41.25" customHeight="1" x14ac:dyDescent="0.3">
      <c r="B23" s="835" t="s">
        <v>44</v>
      </c>
      <c r="C23" s="1171" t="s">
        <v>484</v>
      </c>
      <c r="D23" s="1172"/>
      <c r="E23" s="833" t="s">
        <v>459</v>
      </c>
      <c r="F23" s="772">
        <f>'2. Medidas a).i)'!Y21+'3. Medidas a).ii)'!Y21+'4. Medidas a).iii) Sistemas'!Z21+'5. Medidas a).iii) Iluminação'!Y21+'6. Medidas a).iv)'!Y20</f>
        <v>0</v>
      </c>
      <c r="G23" s="715"/>
      <c r="H23" s="716" t="s">
        <v>353</v>
      </c>
      <c r="I23" s="716" t="s">
        <v>353</v>
      </c>
      <c r="J23" s="1173"/>
      <c r="K23" s="1174"/>
      <c r="L23" s="1175"/>
      <c r="M23" s="409"/>
      <c r="N23" s="409"/>
    </row>
    <row r="24" spans="2:22" s="399" customFormat="1" ht="41.25" customHeight="1" x14ac:dyDescent="0.3">
      <c r="B24" s="835" t="s">
        <v>44</v>
      </c>
      <c r="C24" s="1171" t="s">
        <v>483</v>
      </c>
      <c r="D24" s="1172"/>
      <c r="E24" s="833" t="s">
        <v>459</v>
      </c>
      <c r="F24" s="772">
        <f>'7. Medidas b).i)'!Z21+'8. Medidas b).ii)'!Y21-'4. Medidas a).iii) Sistemas'!W22</f>
        <v>0</v>
      </c>
      <c r="G24" s="715"/>
      <c r="H24" s="716" t="s">
        <v>353</v>
      </c>
      <c r="I24" s="716" t="s">
        <v>353</v>
      </c>
      <c r="J24" s="1173"/>
      <c r="K24" s="1174"/>
      <c r="L24" s="1175"/>
      <c r="M24" s="409"/>
      <c r="N24" s="409"/>
    </row>
    <row r="25" spans="2:22" x14ac:dyDescent="0.25">
      <c r="F25" s="738"/>
      <c r="O25" s="736"/>
      <c r="P25" s="736"/>
      <c r="Q25" s="739"/>
      <c r="R25" s="736"/>
      <c r="S25" s="736"/>
      <c r="T25" s="736"/>
      <c r="U25" s="736"/>
      <c r="V25" s="736"/>
    </row>
  </sheetData>
  <sheetProtection algorithmName="SHA-512" hashValue="msJSrw7T4aTJsqVVKzqWGahOD9gFM77bJB6XQvlTxw7M5eOvL3DA+9FRkIHsKe7Vwwm/LvDE/CV2yYgr21gadg==" saltValue="v2Gh0Xx+9c0eS85rarrT9A==" spinCount="100000" sheet="1" objects="1" scenarios="1" selectLockedCells="1"/>
  <mergeCells count="21">
    <mergeCell ref="B1:L1"/>
    <mergeCell ref="D8:E8"/>
    <mergeCell ref="I8:J8"/>
    <mergeCell ref="E10:J10"/>
    <mergeCell ref="E12:J12"/>
    <mergeCell ref="C23:D23"/>
    <mergeCell ref="J23:L23"/>
    <mergeCell ref="C24:D24"/>
    <mergeCell ref="J24:L24"/>
    <mergeCell ref="K15:L15"/>
    <mergeCell ref="C18:D18"/>
    <mergeCell ref="C19:D19"/>
    <mergeCell ref="C20:D20"/>
    <mergeCell ref="C21:D21"/>
    <mergeCell ref="J22:L22"/>
    <mergeCell ref="B16:L16"/>
    <mergeCell ref="J18:L18"/>
    <mergeCell ref="J19:L19"/>
    <mergeCell ref="J20:L20"/>
    <mergeCell ref="J21:L21"/>
    <mergeCell ref="C22:D22"/>
  </mergeCells>
  <dataValidations disablePrompts="1" count="1">
    <dataValidation type="list" allowBlank="1" showInputMessage="1" showErrorMessage="1" sqref="H19:I24">
      <formula1>$P$4:$P$5</formula1>
    </dataValidation>
  </dataValidations>
  <pageMargins left="0.7" right="0.7" top="0.75" bottom="0.75" header="0.3" footer="0.3"/>
  <pageSetup paperSize="9" orientation="portrait" r:id="rId1"/>
  <ignoredErrors>
    <ignoredError sqref="D8 I8" unlocked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/>
  <dimension ref="B1:BL42"/>
  <sheetViews>
    <sheetView showGridLines="0" zoomScaleNormal="100" workbookViewId="0">
      <selection activeCell="G10" sqref="G10"/>
    </sheetView>
  </sheetViews>
  <sheetFormatPr defaultColWidth="9.109375" defaultRowHeight="12" x14ac:dyDescent="0.3"/>
  <cols>
    <col min="1" max="1" width="9.109375" style="217"/>
    <col min="2" max="2" width="3.44140625" style="217" customWidth="1"/>
    <col min="3" max="3" width="15.6640625" style="217" customWidth="1"/>
    <col min="4" max="4" width="18.5546875" style="217" customWidth="1"/>
    <col min="5" max="5" width="24.109375" style="217" customWidth="1"/>
    <col min="6" max="6" width="15.88671875" style="217" customWidth="1"/>
    <col min="7" max="7" width="31.109375" style="217" bestFit="1" customWidth="1"/>
    <col min="8" max="8" width="11.44140625" style="217" customWidth="1"/>
    <col min="9" max="9" width="12.5546875" style="217" bestFit="1" customWidth="1"/>
    <col min="10" max="10" width="12.88671875" style="217" bestFit="1" customWidth="1"/>
    <col min="11" max="11" width="7.5546875" style="217" bestFit="1" customWidth="1"/>
    <col min="12" max="12" width="5.33203125" style="217" bestFit="1" customWidth="1"/>
    <col min="13" max="13" width="3.109375" style="217" customWidth="1"/>
    <col min="14" max="14" width="9.109375" style="217"/>
    <col min="15" max="15" width="13.109375" style="217" bestFit="1" customWidth="1"/>
    <col min="16" max="16384" width="9.109375" style="217"/>
  </cols>
  <sheetData>
    <row r="1" spans="2:64" ht="12.75" thickBot="1" x14ac:dyDescent="0.3"/>
    <row r="2" spans="2:64" x14ac:dyDescent="0.25">
      <c r="B2" s="218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20"/>
    </row>
    <row r="3" spans="2:64" ht="27" customHeight="1" x14ac:dyDescent="0.3">
      <c r="B3" s="221"/>
      <c r="C3" s="1194" t="s">
        <v>408</v>
      </c>
      <c r="D3" s="1194"/>
      <c r="E3" s="1194"/>
      <c r="F3" s="222"/>
      <c r="G3" s="222"/>
      <c r="H3" s="222"/>
      <c r="I3" s="222"/>
      <c r="J3" s="222"/>
      <c r="K3" s="223"/>
      <c r="L3" s="223"/>
      <c r="M3" s="224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  <c r="AY3" s="225"/>
      <c r="AZ3" s="225"/>
      <c r="BA3" s="225"/>
      <c r="BB3" s="225"/>
      <c r="BC3" s="225"/>
      <c r="BD3" s="225"/>
      <c r="BE3" s="225"/>
      <c r="BF3" s="225"/>
      <c r="BG3" s="225"/>
      <c r="BH3" s="225"/>
      <c r="BI3" s="225"/>
      <c r="BJ3" s="225"/>
      <c r="BK3" s="225"/>
      <c r="BL3" s="225"/>
    </row>
    <row r="4" spans="2:64" ht="15" customHeight="1" thickBot="1" x14ac:dyDescent="0.3">
      <c r="B4" s="221"/>
      <c r="C4" s="223"/>
      <c r="D4" s="223"/>
      <c r="E4" s="222"/>
      <c r="F4" s="222"/>
      <c r="G4" s="222"/>
      <c r="H4" s="222"/>
      <c r="I4" s="222"/>
      <c r="J4" s="222"/>
      <c r="K4" s="223"/>
      <c r="L4" s="223"/>
      <c r="M4" s="224"/>
    </row>
    <row r="5" spans="2:64" ht="15" customHeight="1" x14ac:dyDescent="0.2">
      <c r="B5" s="221"/>
      <c r="C5" s="1198" t="s">
        <v>489</v>
      </c>
      <c r="D5" s="1199"/>
      <c r="E5" s="323">
        <f>'12.1 Apoio reembolsável'!D37</f>
        <v>0</v>
      </c>
      <c r="F5" s="226"/>
      <c r="G5" s="222"/>
      <c r="H5" s="222"/>
      <c r="I5" s="222"/>
      <c r="J5" s="222"/>
      <c r="K5" s="223"/>
      <c r="L5" s="223"/>
      <c r="M5" s="224"/>
    </row>
    <row r="6" spans="2:64" ht="32.25" customHeight="1" x14ac:dyDescent="0.2">
      <c r="B6" s="221"/>
      <c r="C6" s="1200" t="s">
        <v>170</v>
      </c>
      <c r="D6" s="1201"/>
      <c r="E6" s="324">
        <f>+SUMPRODUCT('2. Medidas a).i)'!AC10:AC14,'2. Medidas a).i)'!AD10:AD14)+SUMPRODUCT('2. Medidas a).i)'!AC16:AC20,'2. Medidas a).i)'!AD16:AD20)+SUMPRODUCT('3. Medidas a).ii)'!AC10:AC14,'3. Medidas a).ii)'!AD10:AD14)+SUMPRODUCT('3. Medidas a).ii)'!AC16:AC20,'3. Medidas a).ii)'!AD16:AD20)+SUMPRODUCT('4. Medidas a).iii) Sistemas'!AD10:AD15,'4. Medidas a).iii) Sistemas'!AE10:AE15)+SUMPRODUCT('5. Medidas a).iii) Iluminação'!AC10:AC14,'5. Medidas a).iii) Iluminação'!AD10:AD14)+SUMPRODUCT('6. Medidas a).iv)'!AC10:AC19,'6. Medidas a).iv)'!AD10:AD19)+SUMPRODUCT('7. Medidas b).i)'!AD10:AD12,'7. Medidas b).i)'!AE10:AE12)+SUMPRODUCT('7. Medidas b).i)'!AD14:AD20,'7. Medidas b).i)'!AE14:AE20)+SUMPRODUCT('8. Medidas b).ii)'!AC10:AC14,'8. Medidas b).ii)'!AD10:AD14)+SUMPRODUCT('8. Medidas b).ii)'!AC16:AC20,'8. Medidas b).ii)'!AD16:AD20)+SUMPRODUCT('9. Medidas c)'!AD10:AD19,'9. Medidas c)'!AE10:AE19)+SUMPRODUCT('9. Medidas c)'!AD21:AD25,'9. Medidas c)'!AE21:AE25)</f>
        <v>0</v>
      </c>
      <c r="F6" s="226"/>
      <c r="G6" s="222"/>
      <c r="H6" s="222"/>
      <c r="I6" s="222"/>
      <c r="J6" s="222"/>
      <c r="K6" s="223"/>
      <c r="L6" s="223"/>
      <c r="M6" s="224"/>
    </row>
    <row r="7" spans="2:64" ht="15" customHeight="1" x14ac:dyDescent="0.25">
      <c r="B7" s="221"/>
      <c r="C7" s="1202" t="s">
        <v>77</v>
      </c>
      <c r="D7" s="1203"/>
      <c r="E7" s="325">
        <v>0.04</v>
      </c>
      <c r="F7" s="222"/>
      <c r="G7" s="222"/>
      <c r="H7" s="222"/>
      <c r="I7" s="222"/>
      <c r="J7" s="222"/>
      <c r="K7" s="223"/>
      <c r="L7" s="223"/>
      <c r="M7" s="224"/>
    </row>
    <row r="8" spans="2:64" ht="15" customHeight="1" x14ac:dyDescent="0.2">
      <c r="B8" s="221"/>
      <c r="C8" s="1202" t="s">
        <v>26</v>
      </c>
      <c r="D8" s="1203"/>
      <c r="E8" s="326">
        <f>SUM(I16:I41)</f>
        <v>0</v>
      </c>
      <c r="F8" s="570"/>
      <c r="G8" s="222"/>
      <c r="H8" s="222"/>
      <c r="I8" s="222"/>
      <c r="J8" s="222"/>
      <c r="K8" s="223"/>
      <c r="L8" s="223"/>
      <c r="M8" s="224"/>
    </row>
    <row r="9" spans="2:64" ht="15" customHeight="1" thickBot="1" x14ac:dyDescent="0.25">
      <c r="B9" s="221"/>
      <c r="C9" s="1204" t="s">
        <v>16</v>
      </c>
      <c r="D9" s="1205"/>
      <c r="E9" s="327">
        <f>IF(E5=0,0,LARGE(K16:K41,1))</f>
        <v>0</v>
      </c>
      <c r="F9" s="222"/>
      <c r="G9" s="222"/>
      <c r="H9" s="222"/>
      <c r="I9" s="222"/>
      <c r="J9" s="222"/>
      <c r="K9" s="223"/>
      <c r="L9" s="223"/>
      <c r="M9" s="224"/>
    </row>
    <row r="10" spans="2:64" ht="15" customHeight="1" x14ac:dyDescent="0.25">
      <c r="B10" s="221"/>
      <c r="C10" s="223"/>
      <c r="D10" s="227"/>
      <c r="E10" s="222"/>
      <c r="F10" s="222"/>
      <c r="G10" s="222"/>
      <c r="H10" s="222"/>
      <c r="I10" s="222"/>
      <c r="J10" s="222"/>
      <c r="K10" s="228"/>
      <c r="L10" s="223"/>
      <c r="M10" s="224"/>
    </row>
    <row r="11" spans="2:64" ht="15" customHeight="1" x14ac:dyDescent="0.25">
      <c r="B11" s="221"/>
      <c r="E11" s="222"/>
      <c r="F11" s="229"/>
      <c r="G11" s="229"/>
      <c r="H11" s="229"/>
      <c r="I11" s="229"/>
      <c r="J11" s="229"/>
      <c r="K11" s="223"/>
      <c r="L11" s="223"/>
      <c r="M11" s="224"/>
    </row>
    <row r="12" spans="2:64" ht="15" customHeight="1" x14ac:dyDescent="0.2">
      <c r="B12" s="221"/>
      <c r="C12" s="223"/>
      <c r="D12" s="230"/>
      <c r="E12" s="222"/>
      <c r="F12" s="229"/>
      <c r="G12" s="222"/>
      <c r="H12" s="226"/>
      <c r="I12" s="231"/>
      <c r="J12" s="223"/>
      <c r="K12" s="228"/>
      <c r="L12" s="223"/>
      <c r="M12" s="224"/>
    </row>
    <row r="13" spans="2:64" ht="15" customHeight="1" thickBot="1" x14ac:dyDescent="0.3">
      <c r="B13" s="221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4"/>
    </row>
    <row r="14" spans="2:64" ht="12.6" thickBot="1" x14ac:dyDescent="0.35">
      <c r="B14" s="221"/>
      <c r="C14" s="1195" t="s">
        <v>17</v>
      </c>
      <c r="D14" s="1196"/>
      <c r="E14" s="1196"/>
      <c r="F14" s="1196"/>
      <c r="G14" s="1196"/>
      <c r="H14" s="1196"/>
      <c r="I14" s="1196"/>
      <c r="J14" s="1196"/>
      <c r="K14" s="1196"/>
      <c r="L14" s="1197"/>
      <c r="M14" s="224"/>
    </row>
    <row r="15" spans="2:64" s="238" customFormat="1" ht="66.75" customHeight="1" thickBot="1" x14ac:dyDescent="0.35">
      <c r="B15" s="232"/>
      <c r="C15" s="233" t="s">
        <v>18</v>
      </c>
      <c r="D15" s="234" t="s">
        <v>237</v>
      </c>
      <c r="E15" s="235" t="s">
        <v>76</v>
      </c>
      <c r="F15" s="235" t="s">
        <v>19</v>
      </c>
      <c r="G15" s="235" t="s">
        <v>20</v>
      </c>
      <c r="H15" s="235" t="s">
        <v>21</v>
      </c>
      <c r="I15" s="235" t="s">
        <v>22</v>
      </c>
      <c r="J15" s="235" t="s">
        <v>23</v>
      </c>
      <c r="K15" s="235" t="s">
        <v>16</v>
      </c>
      <c r="L15" s="236" t="s">
        <v>18</v>
      </c>
      <c r="M15" s="237"/>
    </row>
    <row r="16" spans="2:64" ht="15" customHeight="1" x14ac:dyDescent="0.25">
      <c r="B16" s="221"/>
      <c r="C16" s="239">
        <v>0</v>
      </c>
      <c r="D16" s="335">
        <f>E5</f>
        <v>0</v>
      </c>
      <c r="E16" s="328">
        <v>0</v>
      </c>
      <c r="F16" s="328">
        <f>0-D16</f>
        <v>0</v>
      </c>
      <c r="G16" s="329">
        <f>F16</f>
        <v>0</v>
      </c>
      <c r="H16" s="330" t="s">
        <v>24</v>
      </c>
      <c r="I16" s="329">
        <f>F16</f>
        <v>0</v>
      </c>
      <c r="J16" s="329">
        <f>I16</f>
        <v>0</v>
      </c>
      <c r="K16" s="331" t="s">
        <v>172</v>
      </c>
      <c r="L16" s="239">
        <f t="shared" ref="L16:L39" si="0">+C16</f>
        <v>0</v>
      </c>
      <c r="M16" s="224"/>
    </row>
    <row r="17" spans="2:13" ht="15" customHeight="1" x14ac:dyDescent="0.25">
      <c r="B17" s="221"/>
      <c r="C17" s="241">
        <v>1</v>
      </c>
      <c r="D17" s="240"/>
      <c r="E17" s="328">
        <f>'12.1 Apoio reembolsável'!D14</f>
        <v>0</v>
      </c>
      <c r="F17" s="328">
        <f>E17-D17</f>
        <v>0</v>
      </c>
      <c r="G17" s="332">
        <f>IF(F17=0,0,F17+G16)</f>
        <v>0</v>
      </c>
      <c r="H17" s="333">
        <f t="shared" ref="H17:H41" si="1">(1+$E$7)^(-C17)</f>
        <v>0.96153846153846145</v>
      </c>
      <c r="I17" s="332">
        <f>F17*H17</f>
        <v>0</v>
      </c>
      <c r="J17" s="332">
        <f>IF(I17=0,0,I17+J16)</f>
        <v>0</v>
      </c>
      <c r="K17" s="334" t="str">
        <f>IF(J17=0,"",IRR($F$16:F17))</f>
        <v/>
      </c>
      <c r="L17" s="241">
        <f t="shared" si="0"/>
        <v>1</v>
      </c>
      <c r="M17" s="224"/>
    </row>
    <row r="18" spans="2:13" ht="15" customHeight="1" x14ac:dyDescent="0.25">
      <c r="B18" s="221"/>
      <c r="C18" s="241">
        <v>2</v>
      </c>
      <c r="D18" s="240"/>
      <c r="E18" s="328">
        <f>'12.1 Apoio reembolsável'!E14</f>
        <v>0</v>
      </c>
      <c r="F18" s="328">
        <f>E18-D18</f>
        <v>0</v>
      </c>
      <c r="G18" s="332">
        <f>IF(F18=0,0,F18+G17)</f>
        <v>0</v>
      </c>
      <c r="H18" s="333">
        <f t="shared" si="1"/>
        <v>0.92455621301775137</v>
      </c>
      <c r="I18" s="332">
        <f t="shared" ref="I18:I31" si="2">F18*H18</f>
        <v>0</v>
      </c>
      <c r="J18" s="332">
        <f t="shared" ref="J18:J31" si="3">IF(I18=0,0,I18+J17)</f>
        <v>0</v>
      </c>
      <c r="K18" s="334" t="str">
        <f>IF(J18=0,"",IRR($F$16:F18))</f>
        <v/>
      </c>
      <c r="L18" s="241">
        <f t="shared" si="0"/>
        <v>2</v>
      </c>
      <c r="M18" s="224"/>
    </row>
    <row r="19" spans="2:13" ht="15" customHeight="1" x14ac:dyDescent="0.3">
      <c r="B19" s="221"/>
      <c r="C19" s="241">
        <v>3</v>
      </c>
      <c r="D19" s="240"/>
      <c r="E19" s="328">
        <f>'12.1 Apoio reembolsável'!F14</f>
        <v>0</v>
      </c>
      <c r="F19" s="328">
        <f t="shared" ref="F19:F41" si="4">E19-D19</f>
        <v>0</v>
      </c>
      <c r="G19" s="332">
        <f>IF(F19=0,0,F19+G18)</f>
        <v>0</v>
      </c>
      <c r="H19" s="333">
        <f t="shared" si="1"/>
        <v>0.88899635867091487</v>
      </c>
      <c r="I19" s="332">
        <f>F19*H19</f>
        <v>0</v>
      </c>
      <c r="J19" s="332">
        <f t="shared" si="3"/>
        <v>0</v>
      </c>
      <c r="K19" s="334" t="str">
        <f>IF(J19=0,"",IRR($F$16:F19))</f>
        <v/>
      </c>
      <c r="L19" s="241">
        <f t="shared" si="0"/>
        <v>3</v>
      </c>
      <c r="M19" s="224"/>
    </row>
    <row r="20" spans="2:13" ht="15" customHeight="1" x14ac:dyDescent="0.3">
      <c r="B20" s="221"/>
      <c r="C20" s="241">
        <v>4</v>
      </c>
      <c r="D20" s="240"/>
      <c r="E20" s="328">
        <f>'12.1 Apoio reembolsável'!G14</f>
        <v>0</v>
      </c>
      <c r="F20" s="328">
        <f t="shared" si="4"/>
        <v>0</v>
      </c>
      <c r="G20" s="332">
        <f>IF(F20=0,0,F20+G19)</f>
        <v>0</v>
      </c>
      <c r="H20" s="333">
        <f t="shared" si="1"/>
        <v>0.85480419102972571</v>
      </c>
      <c r="I20" s="332">
        <f t="shared" si="2"/>
        <v>0</v>
      </c>
      <c r="J20" s="332">
        <f t="shared" si="3"/>
        <v>0</v>
      </c>
      <c r="K20" s="334" t="str">
        <f>IF(J20=0,"",IRR($F$16:F20))</f>
        <v/>
      </c>
      <c r="L20" s="241">
        <f t="shared" si="0"/>
        <v>4</v>
      </c>
      <c r="M20" s="224"/>
    </row>
    <row r="21" spans="2:13" ht="15" customHeight="1" x14ac:dyDescent="0.3">
      <c r="B21" s="221"/>
      <c r="C21" s="241">
        <v>5</v>
      </c>
      <c r="D21" s="240"/>
      <c r="E21" s="328">
        <f>'12.1 Apoio reembolsável'!H14</f>
        <v>0</v>
      </c>
      <c r="F21" s="328">
        <f t="shared" si="4"/>
        <v>0</v>
      </c>
      <c r="G21" s="332">
        <f t="shared" ref="G21:G31" si="5">IF(F21=0,0,F21+G20)</f>
        <v>0</v>
      </c>
      <c r="H21" s="333">
        <f t="shared" si="1"/>
        <v>0.82192710675935154</v>
      </c>
      <c r="I21" s="332">
        <f t="shared" si="2"/>
        <v>0</v>
      </c>
      <c r="J21" s="332">
        <f t="shared" si="3"/>
        <v>0</v>
      </c>
      <c r="K21" s="334" t="str">
        <f>IF(J21=0,"",IRR($F$16:F21))</f>
        <v/>
      </c>
      <c r="L21" s="241">
        <f t="shared" si="0"/>
        <v>5</v>
      </c>
      <c r="M21" s="224"/>
    </row>
    <row r="22" spans="2:13" ht="15" customHeight="1" x14ac:dyDescent="0.3">
      <c r="B22" s="221"/>
      <c r="C22" s="241">
        <v>6</v>
      </c>
      <c r="D22" s="240"/>
      <c r="E22" s="328">
        <f>'12.1 Apoio reembolsável'!I14</f>
        <v>0</v>
      </c>
      <c r="F22" s="328">
        <f t="shared" si="4"/>
        <v>0</v>
      </c>
      <c r="G22" s="332">
        <f t="shared" si="5"/>
        <v>0</v>
      </c>
      <c r="H22" s="333">
        <f t="shared" si="1"/>
        <v>0.79031452573014571</v>
      </c>
      <c r="I22" s="332">
        <f t="shared" si="2"/>
        <v>0</v>
      </c>
      <c r="J22" s="332">
        <f t="shared" si="3"/>
        <v>0</v>
      </c>
      <c r="K22" s="334" t="str">
        <f>IF(J22=0,"",IRR($F$16:F22))</f>
        <v/>
      </c>
      <c r="L22" s="241">
        <f t="shared" si="0"/>
        <v>6</v>
      </c>
      <c r="M22" s="224"/>
    </row>
    <row r="23" spans="2:13" ht="15" customHeight="1" x14ac:dyDescent="0.3">
      <c r="B23" s="221"/>
      <c r="C23" s="241">
        <v>7</v>
      </c>
      <c r="D23" s="240"/>
      <c r="E23" s="328">
        <f>'12.1 Apoio reembolsável'!J14</f>
        <v>0</v>
      </c>
      <c r="F23" s="328">
        <f t="shared" si="4"/>
        <v>0</v>
      </c>
      <c r="G23" s="332">
        <f t="shared" si="5"/>
        <v>0</v>
      </c>
      <c r="H23" s="333">
        <f t="shared" si="1"/>
        <v>0.75991781320206331</v>
      </c>
      <c r="I23" s="332">
        <f t="shared" si="2"/>
        <v>0</v>
      </c>
      <c r="J23" s="332">
        <f t="shared" si="3"/>
        <v>0</v>
      </c>
      <c r="K23" s="334" t="str">
        <f>IF(J23=0,"",IRR($F$16:F23))</f>
        <v/>
      </c>
      <c r="L23" s="241">
        <f t="shared" si="0"/>
        <v>7</v>
      </c>
      <c r="M23" s="224"/>
    </row>
    <row r="24" spans="2:13" ht="15" customHeight="1" x14ac:dyDescent="0.3">
      <c r="B24" s="221"/>
      <c r="C24" s="241">
        <v>8</v>
      </c>
      <c r="D24" s="240"/>
      <c r="E24" s="328">
        <f>'12.1 Apoio reembolsável'!K14</f>
        <v>0</v>
      </c>
      <c r="F24" s="328">
        <f t="shared" si="4"/>
        <v>0</v>
      </c>
      <c r="G24" s="332">
        <f t="shared" si="5"/>
        <v>0</v>
      </c>
      <c r="H24" s="333">
        <f t="shared" si="1"/>
        <v>0.73069020500198378</v>
      </c>
      <c r="I24" s="332">
        <f t="shared" si="2"/>
        <v>0</v>
      </c>
      <c r="J24" s="332">
        <f t="shared" si="3"/>
        <v>0</v>
      </c>
      <c r="K24" s="334" t="str">
        <f>IF(J24=0,"",IRR($F$16:F24))</f>
        <v/>
      </c>
      <c r="L24" s="241">
        <f t="shared" si="0"/>
        <v>8</v>
      </c>
      <c r="M24" s="224"/>
    </row>
    <row r="25" spans="2:13" ht="15" customHeight="1" x14ac:dyDescent="0.3">
      <c r="B25" s="221"/>
      <c r="C25" s="241">
        <v>9</v>
      </c>
      <c r="D25" s="240"/>
      <c r="E25" s="328">
        <f>'12.1 Apoio reembolsável'!L14</f>
        <v>0</v>
      </c>
      <c r="F25" s="328">
        <f t="shared" si="4"/>
        <v>0</v>
      </c>
      <c r="G25" s="332">
        <f t="shared" si="5"/>
        <v>0</v>
      </c>
      <c r="H25" s="333">
        <f t="shared" si="1"/>
        <v>0.70258673557883045</v>
      </c>
      <c r="I25" s="332">
        <f t="shared" si="2"/>
        <v>0</v>
      </c>
      <c r="J25" s="332">
        <f t="shared" si="3"/>
        <v>0</v>
      </c>
      <c r="K25" s="334" t="str">
        <f>IF(J25=0,"",IRR($F$16:F25))</f>
        <v/>
      </c>
      <c r="L25" s="241">
        <f t="shared" si="0"/>
        <v>9</v>
      </c>
      <c r="M25" s="224"/>
    </row>
    <row r="26" spans="2:13" ht="15" customHeight="1" x14ac:dyDescent="0.3">
      <c r="B26" s="221"/>
      <c r="C26" s="241">
        <v>10</v>
      </c>
      <c r="D26" s="240"/>
      <c r="E26" s="328">
        <f>'12.1 Apoio reembolsável'!M14</f>
        <v>0</v>
      </c>
      <c r="F26" s="328">
        <f t="shared" si="4"/>
        <v>0</v>
      </c>
      <c r="G26" s="332">
        <f t="shared" si="5"/>
        <v>0</v>
      </c>
      <c r="H26" s="333">
        <f t="shared" si="1"/>
        <v>0.67556416882579851</v>
      </c>
      <c r="I26" s="332">
        <f t="shared" si="2"/>
        <v>0</v>
      </c>
      <c r="J26" s="332">
        <f t="shared" si="3"/>
        <v>0</v>
      </c>
      <c r="K26" s="334" t="str">
        <f>IF(J26=0,"",IRR($F$16:F26))</f>
        <v/>
      </c>
      <c r="L26" s="241">
        <f t="shared" si="0"/>
        <v>10</v>
      </c>
      <c r="M26" s="224"/>
    </row>
    <row r="27" spans="2:13" ht="15" customHeight="1" x14ac:dyDescent="0.3">
      <c r="B27" s="221"/>
      <c r="C27" s="241">
        <v>11</v>
      </c>
      <c r="D27" s="240"/>
      <c r="E27" s="328">
        <f>'12.1 Apoio reembolsável'!N14</f>
        <v>0</v>
      </c>
      <c r="F27" s="328">
        <f t="shared" si="4"/>
        <v>0</v>
      </c>
      <c r="G27" s="332">
        <f t="shared" si="5"/>
        <v>0</v>
      </c>
      <c r="H27" s="333">
        <f t="shared" si="1"/>
        <v>0.6495809315632679</v>
      </c>
      <c r="I27" s="332">
        <f t="shared" si="2"/>
        <v>0</v>
      </c>
      <c r="J27" s="332">
        <f t="shared" si="3"/>
        <v>0</v>
      </c>
      <c r="K27" s="334" t="str">
        <f>IF(J27=0,"",IRR($F$16:F27))</f>
        <v/>
      </c>
      <c r="L27" s="241">
        <f t="shared" si="0"/>
        <v>11</v>
      </c>
      <c r="M27" s="224"/>
    </row>
    <row r="28" spans="2:13" ht="15" customHeight="1" x14ac:dyDescent="0.3">
      <c r="B28" s="221"/>
      <c r="C28" s="241">
        <v>12</v>
      </c>
      <c r="D28" s="240"/>
      <c r="E28" s="328">
        <f>'12.1 Apoio reembolsável'!O14</f>
        <v>0</v>
      </c>
      <c r="F28" s="328">
        <f t="shared" si="4"/>
        <v>0</v>
      </c>
      <c r="G28" s="332">
        <f t="shared" si="5"/>
        <v>0</v>
      </c>
      <c r="H28" s="333">
        <f t="shared" si="1"/>
        <v>0.62459704958006512</v>
      </c>
      <c r="I28" s="332">
        <f t="shared" si="2"/>
        <v>0</v>
      </c>
      <c r="J28" s="332">
        <f t="shared" si="3"/>
        <v>0</v>
      </c>
      <c r="K28" s="334" t="str">
        <f>IF(J28=0,"",IRR($F$16:F28))</f>
        <v/>
      </c>
      <c r="L28" s="241">
        <f t="shared" si="0"/>
        <v>12</v>
      </c>
      <c r="M28" s="224"/>
    </row>
    <row r="29" spans="2:13" ht="15" customHeight="1" x14ac:dyDescent="0.3">
      <c r="B29" s="221"/>
      <c r="C29" s="241">
        <v>13</v>
      </c>
      <c r="D29" s="240"/>
      <c r="E29" s="328">
        <f>'12.1 Apoio reembolsável'!P14</f>
        <v>0</v>
      </c>
      <c r="F29" s="328">
        <f t="shared" si="4"/>
        <v>0</v>
      </c>
      <c r="G29" s="332">
        <f t="shared" si="5"/>
        <v>0</v>
      </c>
      <c r="H29" s="333">
        <f t="shared" si="1"/>
        <v>0.600574086134678</v>
      </c>
      <c r="I29" s="332">
        <f t="shared" si="2"/>
        <v>0</v>
      </c>
      <c r="J29" s="332">
        <f t="shared" si="3"/>
        <v>0</v>
      </c>
      <c r="K29" s="334" t="str">
        <f>IF(J29=0,"",IRR($F$16:F29))</f>
        <v/>
      </c>
      <c r="L29" s="241">
        <f t="shared" si="0"/>
        <v>13</v>
      </c>
      <c r="M29" s="224"/>
    </row>
    <row r="30" spans="2:13" ht="15" customHeight="1" x14ac:dyDescent="0.3">
      <c r="B30" s="221"/>
      <c r="C30" s="241">
        <v>14</v>
      </c>
      <c r="D30" s="240"/>
      <c r="E30" s="328">
        <f>'12.1 Apoio reembolsável'!Q14</f>
        <v>0</v>
      </c>
      <c r="F30" s="328">
        <f t="shared" si="4"/>
        <v>0</v>
      </c>
      <c r="G30" s="332">
        <f t="shared" si="5"/>
        <v>0</v>
      </c>
      <c r="H30" s="333">
        <f t="shared" si="1"/>
        <v>0.57747508282180582</v>
      </c>
      <c r="I30" s="332">
        <f t="shared" si="2"/>
        <v>0</v>
      </c>
      <c r="J30" s="332">
        <f t="shared" si="3"/>
        <v>0</v>
      </c>
      <c r="K30" s="334" t="str">
        <f>IF(J30=0,"",IRR($F$16:F30))</f>
        <v/>
      </c>
      <c r="L30" s="241">
        <f t="shared" si="0"/>
        <v>14</v>
      </c>
      <c r="M30" s="224"/>
    </row>
    <row r="31" spans="2:13" ht="15" customHeight="1" x14ac:dyDescent="0.3">
      <c r="B31" s="221"/>
      <c r="C31" s="241">
        <v>15</v>
      </c>
      <c r="D31" s="240"/>
      <c r="E31" s="328">
        <f>'12.1 Apoio reembolsável'!R14</f>
        <v>0</v>
      </c>
      <c r="F31" s="328">
        <f t="shared" si="4"/>
        <v>0</v>
      </c>
      <c r="G31" s="332">
        <f t="shared" si="5"/>
        <v>0</v>
      </c>
      <c r="H31" s="333">
        <f t="shared" si="1"/>
        <v>0.55526450271327477</v>
      </c>
      <c r="I31" s="332">
        <f t="shared" si="2"/>
        <v>0</v>
      </c>
      <c r="J31" s="332">
        <f t="shared" si="3"/>
        <v>0</v>
      </c>
      <c r="K31" s="334" t="str">
        <f>IF(J31=0,"",IRR($F$16:F31))</f>
        <v/>
      </c>
      <c r="L31" s="241">
        <f t="shared" si="0"/>
        <v>15</v>
      </c>
      <c r="M31" s="224"/>
    </row>
    <row r="32" spans="2:13" x14ac:dyDescent="0.3">
      <c r="B32" s="221"/>
      <c r="C32" s="241">
        <v>16</v>
      </c>
      <c r="D32" s="240"/>
      <c r="E32" s="328">
        <f>'12.1 Apoio reembolsável'!S14</f>
        <v>0</v>
      </c>
      <c r="F32" s="328">
        <f t="shared" si="4"/>
        <v>0</v>
      </c>
      <c r="G32" s="332">
        <f t="shared" ref="G32:G41" si="6">IF(F32=0,0,F32+G31)</f>
        <v>0</v>
      </c>
      <c r="H32" s="333">
        <f t="shared" si="1"/>
        <v>0.53390817568584104</v>
      </c>
      <c r="I32" s="332">
        <f t="shared" ref="I32:I41" si="7">F32*H32</f>
        <v>0</v>
      </c>
      <c r="J32" s="332">
        <f t="shared" ref="J32:J41" si="8">IF(I32=0,0,I32+J31)</f>
        <v>0</v>
      </c>
      <c r="K32" s="334" t="str">
        <f>IF(J32=0,"",IRR($F$16:F32))</f>
        <v/>
      </c>
      <c r="L32" s="241">
        <f t="shared" si="0"/>
        <v>16</v>
      </c>
      <c r="M32" s="224"/>
    </row>
    <row r="33" spans="2:13" x14ac:dyDescent="0.3">
      <c r="B33" s="221"/>
      <c r="C33" s="241">
        <v>17</v>
      </c>
      <c r="D33" s="240"/>
      <c r="E33" s="328">
        <f>'12.1 Apoio reembolsável'!T14</f>
        <v>0</v>
      </c>
      <c r="F33" s="328">
        <f t="shared" si="4"/>
        <v>0</v>
      </c>
      <c r="G33" s="332">
        <f t="shared" si="6"/>
        <v>0</v>
      </c>
      <c r="H33" s="333">
        <f t="shared" si="1"/>
        <v>0.51337324585177024</v>
      </c>
      <c r="I33" s="332">
        <f t="shared" si="7"/>
        <v>0</v>
      </c>
      <c r="J33" s="332">
        <f t="shared" si="8"/>
        <v>0</v>
      </c>
      <c r="K33" s="334" t="str">
        <f>IF(J33=0,"",IRR($F$16:F33))</f>
        <v/>
      </c>
      <c r="L33" s="241">
        <f t="shared" si="0"/>
        <v>17</v>
      </c>
      <c r="M33" s="224"/>
    </row>
    <row r="34" spans="2:13" x14ac:dyDescent="0.3">
      <c r="B34" s="221"/>
      <c r="C34" s="241">
        <v>18</v>
      </c>
      <c r="D34" s="240"/>
      <c r="E34" s="328">
        <f>'12.1 Apoio reembolsável'!U14</f>
        <v>0</v>
      </c>
      <c r="F34" s="328">
        <f t="shared" si="4"/>
        <v>0</v>
      </c>
      <c r="G34" s="332">
        <f t="shared" si="6"/>
        <v>0</v>
      </c>
      <c r="H34" s="333">
        <f t="shared" si="1"/>
        <v>0.49362812101131748</v>
      </c>
      <c r="I34" s="332">
        <f t="shared" si="7"/>
        <v>0</v>
      </c>
      <c r="J34" s="332">
        <f t="shared" si="8"/>
        <v>0</v>
      </c>
      <c r="K34" s="334" t="str">
        <f>IF(J34=0,"",IRR($F$16:F34))</f>
        <v/>
      </c>
      <c r="L34" s="241">
        <f t="shared" si="0"/>
        <v>18</v>
      </c>
      <c r="M34" s="224"/>
    </row>
    <row r="35" spans="2:13" x14ac:dyDescent="0.3">
      <c r="B35" s="221"/>
      <c r="C35" s="241">
        <v>19</v>
      </c>
      <c r="D35" s="240"/>
      <c r="E35" s="328">
        <f>'12.1 Apoio reembolsável'!V14</f>
        <v>0</v>
      </c>
      <c r="F35" s="328">
        <f t="shared" si="4"/>
        <v>0</v>
      </c>
      <c r="G35" s="332">
        <f t="shared" si="6"/>
        <v>0</v>
      </c>
      <c r="H35" s="333">
        <f t="shared" si="1"/>
        <v>0.47464242404934376</v>
      </c>
      <c r="I35" s="332">
        <f t="shared" si="7"/>
        <v>0</v>
      </c>
      <c r="J35" s="332">
        <f t="shared" si="8"/>
        <v>0</v>
      </c>
      <c r="K35" s="334" t="str">
        <f>IF(J35=0,"",IRR($F$16:F35))</f>
        <v/>
      </c>
      <c r="L35" s="241">
        <f t="shared" si="0"/>
        <v>19</v>
      </c>
      <c r="M35" s="224"/>
    </row>
    <row r="36" spans="2:13" x14ac:dyDescent="0.3">
      <c r="B36" s="221"/>
      <c r="C36" s="241">
        <v>20</v>
      </c>
      <c r="D36" s="240"/>
      <c r="E36" s="328">
        <f>'12.1 Apoio reembolsável'!W14</f>
        <v>0</v>
      </c>
      <c r="F36" s="328">
        <f t="shared" si="4"/>
        <v>0</v>
      </c>
      <c r="G36" s="332">
        <f t="shared" si="6"/>
        <v>0</v>
      </c>
      <c r="H36" s="333">
        <f t="shared" si="1"/>
        <v>0.45638694620129205</v>
      </c>
      <c r="I36" s="332">
        <f t="shared" si="7"/>
        <v>0</v>
      </c>
      <c r="J36" s="332">
        <f t="shared" si="8"/>
        <v>0</v>
      </c>
      <c r="K36" s="334" t="str">
        <f>IF(J36=0,"",IRR($F$16:F36))</f>
        <v/>
      </c>
      <c r="L36" s="241">
        <f t="shared" si="0"/>
        <v>20</v>
      </c>
      <c r="M36" s="224"/>
    </row>
    <row r="37" spans="2:13" x14ac:dyDescent="0.3">
      <c r="B37" s="221"/>
      <c r="C37" s="241">
        <v>21</v>
      </c>
      <c r="D37" s="240"/>
      <c r="E37" s="328">
        <f>'12.1 Apoio reembolsável'!X14</f>
        <v>0</v>
      </c>
      <c r="F37" s="328">
        <f t="shared" si="4"/>
        <v>0</v>
      </c>
      <c r="G37" s="332">
        <f t="shared" si="6"/>
        <v>0</v>
      </c>
      <c r="H37" s="333">
        <f t="shared" si="1"/>
        <v>0.43883360211662686</v>
      </c>
      <c r="I37" s="332">
        <f t="shared" si="7"/>
        <v>0</v>
      </c>
      <c r="J37" s="332">
        <f t="shared" si="8"/>
        <v>0</v>
      </c>
      <c r="K37" s="334" t="str">
        <f>IF(J37=0,"",IRR($F$16:F37))</f>
        <v/>
      </c>
      <c r="L37" s="241">
        <f t="shared" si="0"/>
        <v>21</v>
      </c>
      <c r="M37" s="224"/>
    </row>
    <row r="38" spans="2:13" x14ac:dyDescent="0.3">
      <c r="B38" s="221"/>
      <c r="C38" s="241">
        <v>22</v>
      </c>
      <c r="D38" s="240"/>
      <c r="E38" s="328">
        <f>'12.1 Apoio reembolsável'!Y14</f>
        <v>0</v>
      </c>
      <c r="F38" s="328">
        <f t="shared" si="4"/>
        <v>0</v>
      </c>
      <c r="G38" s="332">
        <f t="shared" si="6"/>
        <v>0</v>
      </c>
      <c r="H38" s="333">
        <f t="shared" si="1"/>
        <v>0.42195538665060278</v>
      </c>
      <c r="I38" s="332">
        <f t="shared" si="7"/>
        <v>0</v>
      </c>
      <c r="J38" s="332">
        <f t="shared" si="8"/>
        <v>0</v>
      </c>
      <c r="K38" s="334" t="str">
        <f>IF(J38=0,"",IRR($F$16:F38))</f>
        <v/>
      </c>
      <c r="L38" s="241">
        <f t="shared" si="0"/>
        <v>22</v>
      </c>
      <c r="M38" s="224"/>
    </row>
    <row r="39" spans="2:13" x14ac:dyDescent="0.3">
      <c r="B39" s="221"/>
      <c r="C39" s="241">
        <v>23</v>
      </c>
      <c r="D39" s="240"/>
      <c r="E39" s="328">
        <f>'12.1 Apoio reembolsável'!Z14</f>
        <v>0</v>
      </c>
      <c r="F39" s="328">
        <f t="shared" si="4"/>
        <v>0</v>
      </c>
      <c r="G39" s="332">
        <f t="shared" si="6"/>
        <v>0</v>
      </c>
      <c r="H39" s="333">
        <f t="shared" si="1"/>
        <v>0.40572633331788732</v>
      </c>
      <c r="I39" s="332">
        <f t="shared" si="7"/>
        <v>0</v>
      </c>
      <c r="J39" s="332">
        <f t="shared" si="8"/>
        <v>0</v>
      </c>
      <c r="K39" s="334" t="str">
        <f>IF(J39=0,"",IRR($F$16:F39))</f>
        <v/>
      </c>
      <c r="L39" s="241">
        <f t="shared" si="0"/>
        <v>23</v>
      </c>
      <c r="M39" s="224"/>
    </row>
    <row r="40" spans="2:13" x14ac:dyDescent="0.3">
      <c r="B40" s="221"/>
      <c r="C40" s="241">
        <v>24</v>
      </c>
      <c r="D40" s="240"/>
      <c r="E40" s="328">
        <f>'12.1 Apoio reembolsável'!AA14</f>
        <v>0</v>
      </c>
      <c r="F40" s="328">
        <f t="shared" si="4"/>
        <v>0</v>
      </c>
      <c r="G40" s="332">
        <f t="shared" si="6"/>
        <v>0</v>
      </c>
      <c r="H40" s="333">
        <f t="shared" si="1"/>
        <v>0.39012147434412242</v>
      </c>
      <c r="I40" s="332">
        <f t="shared" si="7"/>
        <v>0</v>
      </c>
      <c r="J40" s="332">
        <f t="shared" si="8"/>
        <v>0</v>
      </c>
      <c r="K40" s="334" t="str">
        <f>IF(J40=0,"",IRR($F$16:F40))</f>
        <v/>
      </c>
      <c r="L40" s="241">
        <f>+C40</f>
        <v>24</v>
      </c>
      <c r="M40" s="224"/>
    </row>
    <row r="41" spans="2:13" x14ac:dyDescent="0.3">
      <c r="B41" s="221"/>
      <c r="C41" s="241">
        <v>25</v>
      </c>
      <c r="D41" s="240"/>
      <c r="E41" s="328">
        <f>'12.1 Apoio reembolsável'!AB14</f>
        <v>0</v>
      </c>
      <c r="F41" s="328">
        <f t="shared" si="4"/>
        <v>0</v>
      </c>
      <c r="G41" s="332">
        <f t="shared" si="6"/>
        <v>0</v>
      </c>
      <c r="H41" s="333">
        <f t="shared" si="1"/>
        <v>0.37511680225396377</v>
      </c>
      <c r="I41" s="332">
        <f t="shared" si="7"/>
        <v>0</v>
      </c>
      <c r="J41" s="332">
        <f t="shared" si="8"/>
        <v>0</v>
      </c>
      <c r="K41" s="334" t="str">
        <f>IF(J41=0,"",IRR($F$16:F41))</f>
        <v/>
      </c>
      <c r="L41" s="241">
        <f>+C41</f>
        <v>25</v>
      </c>
      <c r="M41" s="224"/>
    </row>
    <row r="42" spans="2:13" ht="12.6" thickBot="1" x14ac:dyDescent="0.35">
      <c r="B42" s="242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4"/>
    </row>
  </sheetData>
  <sheetProtection algorithmName="SHA-512" hashValue="ZiR3+ar7Dp1R+WPvhQ8EwNzqwiuWPAm+9E35qTakTfY3DF20t5OX2inNQCd+FP8llBsyTltuCF73x+Zh4ZMebQ==" saltValue="lk0etAGjOua8GCE2eMRi8Q==" spinCount="100000" sheet="1" objects="1" scenarios="1" insertRows="0" selectLockedCells="1"/>
  <protectedRanges>
    <protectedRange sqref="D17:D41" name="FolhaVAL"/>
  </protectedRanges>
  <mergeCells count="7">
    <mergeCell ref="C3:E3"/>
    <mergeCell ref="C14:L14"/>
    <mergeCell ref="C5:D5"/>
    <mergeCell ref="C6:D6"/>
    <mergeCell ref="C7:D7"/>
    <mergeCell ref="C8:D8"/>
    <mergeCell ref="C9:D9"/>
  </mergeCells>
  <dataValidations disablePrompts="1" count="1">
    <dataValidation type="decimal" operator="greaterThanOrEqual" allowBlank="1" showInputMessage="1" showErrorMessage="1" error="Introduzir número positivo" sqref="D17:D41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G235"/>
  <sheetViews>
    <sheetView zoomScaleNormal="100" workbookViewId="0">
      <selection activeCell="E3" sqref="E3"/>
    </sheetView>
  </sheetViews>
  <sheetFormatPr defaultRowHeight="14.4" x14ac:dyDescent="0.3"/>
  <cols>
    <col min="2" max="2" width="18.5546875" customWidth="1"/>
    <col min="3" max="3" width="46.44140625" customWidth="1"/>
    <col min="4" max="5" width="27.88671875" customWidth="1"/>
    <col min="6" max="6" width="23.109375" customWidth="1"/>
  </cols>
  <sheetData>
    <row r="1" spans="2:7" ht="15.75" thickBot="1" x14ac:dyDescent="0.3"/>
    <row r="2" spans="2:7" ht="42" thickBot="1" x14ac:dyDescent="0.35">
      <c r="B2" s="458" t="s">
        <v>36</v>
      </c>
      <c r="C2" s="458" t="s">
        <v>37</v>
      </c>
      <c r="D2" s="458" t="s">
        <v>387</v>
      </c>
      <c r="E2" s="459" t="s">
        <v>265</v>
      </c>
      <c r="F2" s="459" t="s">
        <v>107</v>
      </c>
    </row>
    <row r="3" spans="2:7" ht="28.8" thickBot="1" x14ac:dyDescent="0.35">
      <c r="B3" s="1207" t="s">
        <v>122</v>
      </c>
      <c r="C3" s="460" t="s">
        <v>124</v>
      </c>
      <c r="D3" s="461" t="s">
        <v>98</v>
      </c>
      <c r="E3" s="461">
        <v>41</v>
      </c>
      <c r="F3" s="462">
        <v>25</v>
      </c>
    </row>
    <row r="4" spans="2:7" ht="28.8" thickBot="1" x14ac:dyDescent="0.35">
      <c r="B4" s="1207"/>
      <c r="C4" s="460" t="s">
        <v>125</v>
      </c>
      <c r="D4" s="461" t="s">
        <v>98</v>
      </c>
      <c r="E4" s="461">
        <v>44.9</v>
      </c>
      <c r="F4" s="462">
        <v>25</v>
      </c>
    </row>
    <row r="5" spans="2:7" ht="28.2" thickBot="1" x14ac:dyDescent="0.35">
      <c r="B5" s="1207"/>
      <c r="C5" s="460" t="s">
        <v>38</v>
      </c>
      <c r="D5" s="461" t="s">
        <v>266</v>
      </c>
      <c r="E5" s="461">
        <v>13.5</v>
      </c>
      <c r="F5" s="462">
        <v>25</v>
      </c>
    </row>
    <row r="6" spans="2:7" ht="28.2" thickBot="1" x14ac:dyDescent="0.35">
      <c r="B6" s="1207"/>
      <c r="C6" s="460" t="s">
        <v>39</v>
      </c>
      <c r="D6" s="461" t="s">
        <v>266</v>
      </c>
      <c r="E6" s="461">
        <v>13.5</v>
      </c>
      <c r="F6" s="462">
        <v>25</v>
      </c>
    </row>
    <row r="7" spans="2:7" ht="28.2" thickBot="1" x14ac:dyDescent="0.35">
      <c r="B7" s="1208"/>
      <c r="C7" s="460" t="s">
        <v>40</v>
      </c>
      <c r="D7" s="461" t="s">
        <v>266</v>
      </c>
      <c r="E7" s="461">
        <v>25</v>
      </c>
      <c r="F7" s="462">
        <v>25</v>
      </c>
    </row>
    <row r="8" spans="2:7" ht="28.2" thickBot="1" x14ac:dyDescent="0.35">
      <c r="B8" s="1207" t="s">
        <v>123</v>
      </c>
      <c r="C8" s="463" t="s">
        <v>99</v>
      </c>
      <c r="D8" s="464" t="s">
        <v>41</v>
      </c>
      <c r="E8" s="464">
        <v>260</v>
      </c>
      <c r="F8" s="462">
        <v>35</v>
      </c>
    </row>
    <row r="9" spans="2:7" ht="28.2" thickBot="1" x14ac:dyDescent="0.35">
      <c r="B9" s="1207"/>
      <c r="C9" s="463" t="s">
        <v>126</v>
      </c>
      <c r="D9" s="464" t="s">
        <v>42</v>
      </c>
      <c r="E9" s="464">
        <v>380</v>
      </c>
      <c r="F9" s="462">
        <v>35</v>
      </c>
    </row>
    <row r="10" spans="2:7" ht="28.2" thickBot="1" x14ac:dyDescent="0.35">
      <c r="B10" s="1207"/>
      <c r="C10" s="463" t="s">
        <v>43</v>
      </c>
      <c r="D10" s="464" t="s">
        <v>44</v>
      </c>
      <c r="E10" s="464">
        <v>100</v>
      </c>
      <c r="F10" s="462">
        <v>10</v>
      </c>
    </row>
    <row r="11" spans="2:7" ht="28.2" thickBot="1" x14ac:dyDescent="0.35">
      <c r="B11" s="1208"/>
      <c r="C11" s="463" t="s">
        <v>45</v>
      </c>
      <c r="D11" s="464" t="s">
        <v>44</v>
      </c>
      <c r="E11" s="464">
        <v>70</v>
      </c>
      <c r="F11" s="462">
        <v>10</v>
      </c>
    </row>
    <row r="12" spans="2:7" ht="29.4" thickBot="1" x14ac:dyDescent="0.35">
      <c r="B12" s="458" t="s">
        <v>36</v>
      </c>
      <c r="C12" s="458" t="s">
        <v>37</v>
      </c>
      <c r="D12" s="458" t="s">
        <v>388</v>
      </c>
      <c r="E12" s="459" t="s">
        <v>108</v>
      </c>
      <c r="F12" s="459" t="s">
        <v>106</v>
      </c>
    </row>
    <row r="13" spans="2:7" ht="42" thickBot="1" x14ac:dyDescent="0.35">
      <c r="B13" s="1206" t="s">
        <v>311</v>
      </c>
      <c r="C13" s="465" t="s">
        <v>310</v>
      </c>
      <c r="D13" s="466">
        <v>6</v>
      </c>
      <c r="E13" s="466">
        <v>6100</v>
      </c>
      <c r="F13" s="462">
        <v>15</v>
      </c>
      <c r="G13" s="353">
        <v>3</v>
      </c>
    </row>
    <row r="14" spans="2:7" ht="42" thickBot="1" x14ac:dyDescent="0.35">
      <c r="B14" s="1207"/>
      <c r="C14" s="467" t="s">
        <v>312</v>
      </c>
      <c r="D14" s="468">
        <v>8</v>
      </c>
      <c r="E14" s="468">
        <v>6900</v>
      </c>
      <c r="F14" s="462">
        <v>15</v>
      </c>
      <c r="G14" s="353">
        <v>4</v>
      </c>
    </row>
    <row r="15" spans="2:7" ht="42" thickBot="1" x14ac:dyDescent="0.35">
      <c r="B15" s="1207"/>
      <c r="C15" s="467" t="s">
        <v>313</v>
      </c>
      <c r="D15" s="468">
        <v>12</v>
      </c>
      <c r="E15" s="468">
        <v>9400</v>
      </c>
      <c r="F15" s="462">
        <v>15</v>
      </c>
      <c r="G15" s="353">
        <v>6</v>
      </c>
    </row>
    <row r="16" spans="2:7" ht="28.2" thickBot="1" x14ac:dyDescent="0.35">
      <c r="B16" s="1207"/>
      <c r="C16" s="467" t="s">
        <v>267</v>
      </c>
      <c r="D16" s="468" t="s">
        <v>314</v>
      </c>
      <c r="E16" s="468">
        <v>1000</v>
      </c>
      <c r="F16" s="462">
        <v>15</v>
      </c>
      <c r="G16" s="353"/>
    </row>
    <row r="17" spans="2:6" ht="55.8" thickBot="1" x14ac:dyDescent="0.35">
      <c r="B17" s="1208"/>
      <c r="C17" s="467" t="s">
        <v>315</v>
      </c>
      <c r="D17" s="468" t="s">
        <v>268</v>
      </c>
      <c r="E17" s="469">
        <v>3000</v>
      </c>
      <c r="F17" s="462">
        <v>15</v>
      </c>
    </row>
    <row r="18" spans="2:6" ht="28.2" thickBot="1" x14ac:dyDescent="0.35">
      <c r="B18" s="458" t="s">
        <v>36</v>
      </c>
      <c r="C18" s="458" t="s">
        <v>37</v>
      </c>
      <c r="D18" s="458" t="s">
        <v>387</v>
      </c>
      <c r="E18" s="459" t="s">
        <v>108</v>
      </c>
      <c r="F18" s="459" t="s">
        <v>106</v>
      </c>
    </row>
    <row r="19" spans="2:6" ht="39" customHeight="1" thickBot="1" x14ac:dyDescent="0.35">
      <c r="B19" s="1206" t="s">
        <v>57</v>
      </c>
      <c r="C19" s="470" t="s">
        <v>269</v>
      </c>
      <c r="D19" s="471" t="s">
        <v>100</v>
      </c>
      <c r="E19" s="471">
        <v>400</v>
      </c>
      <c r="F19" s="462">
        <v>15</v>
      </c>
    </row>
    <row r="20" spans="2:6" ht="28.2" thickBot="1" x14ac:dyDescent="0.35">
      <c r="B20" s="1207"/>
      <c r="C20" s="470" t="s">
        <v>270</v>
      </c>
      <c r="D20" s="471" t="s">
        <v>100</v>
      </c>
      <c r="E20" s="471">
        <v>450</v>
      </c>
      <c r="F20" s="462">
        <v>15</v>
      </c>
    </row>
    <row r="21" spans="2:6" ht="15" thickBot="1" x14ac:dyDescent="0.35">
      <c r="B21" s="1207"/>
      <c r="C21" s="470" t="s">
        <v>271</v>
      </c>
      <c r="D21" s="471" t="s">
        <v>101</v>
      </c>
      <c r="E21" s="471">
        <v>1400</v>
      </c>
      <c r="F21" s="462">
        <v>15</v>
      </c>
    </row>
    <row r="22" spans="2:6" ht="15" thickBot="1" x14ac:dyDescent="0.35">
      <c r="B22" s="1207"/>
      <c r="C22" s="470" t="s">
        <v>272</v>
      </c>
      <c r="D22" s="471" t="s">
        <v>273</v>
      </c>
      <c r="E22" s="471">
        <v>175</v>
      </c>
      <c r="F22" s="462">
        <v>20</v>
      </c>
    </row>
    <row r="23" spans="2:6" ht="15" thickBot="1" x14ac:dyDescent="0.35">
      <c r="B23" s="1207"/>
      <c r="C23" s="470" t="s">
        <v>274</v>
      </c>
      <c r="D23" s="471" t="s">
        <v>102</v>
      </c>
      <c r="E23" s="471">
        <v>1750</v>
      </c>
      <c r="F23" s="462">
        <v>20</v>
      </c>
    </row>
    <row r="24" spans="2:6" ht="15" thickBot="1" x14ac:dyDescent="0.35">
      <c r="B24" s="1207"/>
      <c r="C24" s="470" t="s">
        <v>305</v>
      </c>
      <c r="D24" s="471" t="s">
        <v>103</v>
      </c>
      <c r="E24" s="471">
        <v>2250</v>
      </c>
      <c r="F24" s="462">
        <v>20</v>
      </c>
    </row>
    <row r="25" spans="2:6" ht="15" thickBot="1" x14ac:dyDescent="0.35">
      <c r="B25" s="1207"/>
      <c r="C25" s="470" t="s">
        <v>307</v>
      </c>
      <c r="D25" s="471" t="s">
        <v>104</v>
      </c>
      <c r="E25" s="471">
        <v>3200</v>
      </c>
      <c r="F25" s="462">
        <v>20</v>
      </c>
    </row>
    <row r="26" spans="2:6" ht="15" thickBot="1" x14ac:dyDescent="0.35">
      <c r="B26" s="1208"/>
      <c r="C26" s="470" t="s">
        <v>306</v>
      </c>
      <c r="D26" s="471" t="s">
        <v>105</v>
      </c>
      <c r="E26" s="471">
        <v>4100</v>
      </c>
      <c r="F26" s="462">
        <v>20</v>
      </c>
    </row>
    <row r="27" spans="2:6" ht="28.2" thickBot="1" x14ac:dyDescent="0.35">
      <c r="B27" s="1206" t="s">
        <v>58</v>
      </c>
      <c r="C27" s="472" t="s">
        <v>275</v>
      </c>
      <c r="D27" s="473" t="s">
        <v>59</v>
      </c>
      <c r="E27" s="473">
        <v>3750</v>
      </c>
      <c r="F27" s="462">
        <v>15</v>
      </c>
    </row>
    <row r="28" spans="2:6" ht="28.2" thickBot="1" x14ac:dyDescent="0.35">
      <c r="B28" s="1208"/>
      <c r="C28" s="472" t="s">
        <v>276</v>
      </c>
      <c r="D28" s="473" t="s">
        <v>277</v>
      </c>
      <c r="E28" s="473" t="s">
        <v>60</v>
      </c>
      <c r="F28" s="462">
        <v>20</v>
      </c>
    </row>
    <row r="29" spans="2:6" ht="28.2" thickBot="1" x14ac:dyDescent="0.35">
      <c r="B29" s="458" t="s">
        <v>36</v>
      </c>
      <c r="C29" s="458" t="s">
        <v>37</v>
      </c>
      <c r="D29" s="458" t="s">
        <v>387</v>
      </c>
      <c r="E29" s="459" t="s">
        <v>278</v>
      </c>
      <c r="F29" s="474" t="s">
        <v>106</v>
      </c>
    </row>
    <row r="30" spans="2:6" ht="15" thickBot="1" x14ac:dyDescent="0.35">
      <c r="B30" s="1209" t="s">
        <v>279</v>
      </c>
      <c r="C30" s="475" t="s">
        <v>110</v>
      </c>
      <c r="D30" s="476" t="s">
        <v>112</v>
      </c>
      <c r="E30" s="477">
        <v>2</v>
      </c>
      <c r="F30" s="478">
        <v>12</v>
      </c>
    </row>
    <row r="31" spans="2:6" ht="15" thickBot="1" x14ac:dyDescent="0.35">
      <c r="B31" s="1210"/>
      <c r="C31" s="475" t="s">
        <v>111</v>
      </c>
      <c r="D31" s="476" t="s">
        <v>113</v>
      </c>
      <c r="E31" s="477">
        <v>4</v>
      </c>
      <c r="F31" s="478">
        <v>12</v>
      </c>
    </row>
    <row r="32" spans="2:6" ht="28.2" thickBot="1" x14ac:dyDescent="0.35">
      <c r="B32" s="458" t="s">
        <v>36</v>
      </c>
      <c r="C32" s="458" t="s">
        <v>37</v>
      </c>
      <c r="D32" s="458" t="s">
        <v>387</v>
      </c>
      <c r="E32" s="459" t="s">
        <v>280</v>
      </c>
      <c r="F32" s="474" t="s">
        <v>106</v>
      </c>
    </row>
    <row r="33" spans="2:6" ht="26.25" customHeight="1" thickBot="1" x14ac:dyDescent="0.35">
      <c r="B33" s="1211" t="s">
        <v>281</v>
      </c>
      <c r="C33" s="479" t="s">
        <v>282</v>
      </c>
      <c r="D33" s="480" t="s">
        <v>283</v>
      </c>
      <c r="E33" s="481">
        <v>200</v>
      </c>
      <c r="F33" s="478">
        <v>12</v>
      </c>
    </row>
    <row r="34" spans="2:6" ht="28.2" thickBot="1" x14ac:dyDescent="0.35">
      <c r="B34" s="1209"/>
      <c r="C34" s="479" t="s">
        <v>284</v>
      </c>
      <c r="D34" s="480" t="s">
        <v>285</v>
      </c>
      <c r="E34" s="481">
        <v>230</v>
      </c>
      <c r="F34" s="478">
        <v>12</v>
      </c>
    </row>
    <row r="35" spans="2:6" ht="28.2" thickBot="1" x14ac:dyDescent="0.35">
      <c r="B35" s="1209"/>
      <c r="C35" s="479" t="s">
        <v>286</v>
      </c>
      <c r="D35" s="480" t="s">
        <v>287</v>
      </c>
      <c r="E35" s="481">
        <v>260</v>
      </c>
      <c r="F35" s="478">
        <v>12</v>
      </c>
    </row>
    <row r="36" spans="2:6" ht="28.2" thickBot="1" x14ac:dyDescent="0.35">
      <c r="B36" s="1209"/>
      <c r="C36" s="479" t="s">
        <v>288</v>
      </c>
      <c r="D36" s="480" t="s">
        <v>289</v>
      </c>
      <c r="E36" s="481">
        <v>300</v>
      </c>
      <c r="F36" s="478">
        <v>12</v>
      </c>
    </row>
    <row r="37" spans="2:6" ht="28.2" thickBot="1" x14ac:dyDescent="0.35">
      <c r="B37" s="1209"/>
      <c r="C37" s="479" t="s">
        <v>290</v>
      </c>
      <c r="D37" s="480" t="s">
        <v>291</v>
      </c>
      <c r="E37" s="481">
        <v>65</v>
      </c>
      <c r="F37" s="478">
        <v>17</v>
      </c>
    </row>
    <row r="38" spans="2:6" ht="15" thickBot="1" x14ac:dyDescent="0.35">
      <c r="B38" s="1209"/>
      <c r="C38" s="479" t="s">
        <v>292</v>
      </c>
      <c r="D38" s="480" t="s">
        <v>293</v>
      </c>
      <c r="E38" s="481">
        <v>300</v>
      </c>
      <c r="F38" s="478">
        <v>12</v>
      </c>
    </row>
    <row r="39" spans="2:6" ht="15" thickBot="1" x14ac:dyDescent="0.35">
      <c r="B39" s="1209"/>
      <c r="C39" s="479" t="s">
        <v>294</v>
      </c>
      <c r="D39" s="480" t="s">
        <v>295</v>
      </c>
      <c r="E39" s="481">
        <v>500</v>
      </c>
      <c r="F39" s="478">
        <v>12</v>
      </c>
    </row>
    <row r="40" spans="2:6" ht="28.2" thickBot="1" x14ac:dyDescent="0.35">
      <c r="B40" s="1210"/>
      <c r="C40" s="479" t="s">
        <v>296</v>
      </c>
      <c r="D40" s="480" t="s">
        <v>297</v>
      </c>
      <c r="E40" s="482">
        <v>35</v>
      </c>
      <c r="F40" s="478">
        <v>12</v>
      </c>
    </row>
    <row r="41" spans="2:6" ht="26.25" customHeight="1" thickBot="1" x14ac:dyDescent="0.35">
      <c r="B41" s="458" t="s">
        <v>36</v>
      </c>
      <c r="C41" s="458" t="s">
        <v>37</v>
      </c>
      <c r="D41" s="458" t="s">
        <v>387</v>
      </c>
      <c r="E41" s="459" t="s">
        <v>303</v>
      </c>
      <c r="F41" s="474" t="s">
        <v>106</v>
      </c>
    </row>
    <row r="42" spans="2:6" ht="17.25" customHeight="1" thickBot="1" x14ac:dyDescent="0.35">
      <c r="B42" s="1206" t="s">
        <v>61</v>
      </c>
      <c r="C42" s="483" t="s">
        <v>316</v>
      </c>
      <c r="D42" s="484" t="s">
        <v>298</v>
      </c>
      <c r="E42" s="485">
        <v>2000</v>
      </c>
      <c r="F42" s="486">
        <v>25</v>
      </c>
    </row>
    <row r="43" spans="2:6" ht="17.25" customHeight="1" thickBot="1" x14ac:dyDescent="0.35">
      <c r="B43" s="1207"/>
      <c r="C43" s="487" t="s">
        <v>299</v>
      </c>
      <c r="D43" s="488" t="s">
        <v>300</v>
      </c>
      <c r="E43" s="489">
        <v>1700</v>
      </c>
      <c r="F43" s="486">
        <v>25</v>
      </c>
    </row>
    <row r="44" spans="2:6" ht="17.25" customHeight="1" thickBot="1" x14ac:dyDescent="0.35">
      <c r="B44" s="1208"/>
      <c r="C44" s="487" t="s">
        <v>317</v>
      </c>
      <c r="D44" s="488" t="s">
        <v>301</v>
      </c>
      <c r="E44" s="489">
        <v>1400</v>
      </c>
      <c r="F44" s="490">
        <v>25</v>
      </c>
    </row>
    <row r="45" spans="2:6" ht="15" thickBot="1" x14ac:dyDescent="0.35">
      <c r="B45" s="458" t="s">
        <v>36</v>
      </c>
      <c r="C45" s="458" t="s">
        <v>37</v>
      </c>
      <c r="D45" s="458" t="s">
        <v>387</v>
      </c>
      <c r="E45" s="459" t="s">
        <v>109</v>
      </c>
      <c r="F45" s="459"/>
    </row>
    <row r="46" spans="2:6" ht="28.2" thickBot="1" x14ac:dyDescent="0.35">
      <c r="B46" s="1206" t="s">
        <v>62</v>
      </c>
      <c r="C46" s="491" t="s">
        <v>324</v>
      </c>
      <c r="D46" s="492" t="s">
        <v>63</v>
      </c>
      <c r="E46" s="492">
        <v>2.5</v>
      </c>
      <c r="F46" s="486"/>
    </row>
    <row r="47" spans="2:6" ht="29.4" thickBot="1" x14ac:dyDescent="0.35">
      <c r="B47" s="1207"/>
      <c r="C47" s="491" t="s">
        <v>321</v>
      </c>
      <c r="D47" s="493" t="s">
        <v>64</v>
      </c>
      <c r="E47" s="493">
        <v>1.5</v>
      </c>
      <c r="F47" s="486"/>
    </row>
    <row r="48" spans="2:6" ht="29.4" thickBot="1" x14ac:dyDescent="0.35">
      <c r="B48" s="1207"/>
      <c r="C48" s="491" t="s">
        <v>322</v>
      </c>
      <c r="D48" s="493" t="s">
        <v>65</v>
      </c>
      <c r="E48" s="493">
        <v>1</v>
      </c>
      <c r="F48" s="486"/>
    </row>
    <row r="49" spans="2:6" ht="29.4" thickBot="1" x14ac:dyDescent="0.35">
      <c r="B49" s="1208"/>
      <c r="C49" s="491" t="s">
        <v>323</v>
      </c>
      <c r="D49" s="493" t="s">
        <v>66</v>
      </c>
      <c r="E49" s="493">
        <v>0.7</v>
      </c>
      <c r="F49" s="490"/>
    </row>
    <row r="103" spans="6:6" x14ac:dyDescent="0.3">
      <c r="F103">
        <f>F27</f>
        <v>15</v>
      </c>
    </row>
    <row r="104" spans="6:6" x14ac:dyDescent="0.3">
      <c r="F104">
        <f>F28</f>
        <v>20</v>
      </c>
    </row>
    <row r="105" spans="6:6" x14ac:dyDescent="0.3">
      <c r="F105">
        <f>F30</f>
        <v>12</v>
      </c>
    </row>
    <row r="224" spans="3:3" x14ac:dyDescent="0.3">
      <c r="C224" t="str">
        <f>C19</f>
        <v>Esquentador compacto de exaustão ventilada</v>
      </c>
    </row>
    <row r="225" spans="3:3" x14ac:dyDescent="0.3">
      <c r="C225" t="str">
        <f>C20</f>
        <v>Esquentador compacto, ventilado e estanque (adequado para apoio ao solar térmico)</v>
      </c>
    </row>
    <row r="226" spans="3:3" x14ac:dyDescent="0.3">
      <c r="C226" t="str">
        <f t="shared" ref="C226:C230" si="0">C21</f>
        <v>Esquentador de alta capacidade</v>
      </c>
    </row>
    <row r="227" spans="3:3" x14ac:dyDescent="0.3">
      <c r="C227" t="str">
        <f t="shared" si="0"/>
        <v>Termoacumulador elétrico 2 kW</v>
      </c>
    </row>
    <row r="228" spans="3:3" x14ac:dyDescent="0.3">
      <c r="C228" t="str">
        <f t="shared" si="0"/>
        <v>Caldeira mural convencional a gás</v>
      </c>
    </row>
    <row r="229" spans="3:3" x14ac:dyDescent="0.3">
      <c r="C229" t="str">
        <f t="shared" si="0"/>
        <v>Caldeira mural de condensação &lt; 30 kW</v>
      </c>
    </row>
    <row r="230" spans="3:3" x14ac:dyDescent="0.3">
      <c r="C230" t="str">
        <f t="shared" si="0"/>
        <v>Caldeira mural de condensação &lt; 45 kW</v>
      </c>
    </row>
    <row r="231" spans="3:3" x14ac:dyDescent="0.3">
      <c r="C231" t="str">
        <f>C26</f>
        <v>Caldeira mural de condensação &lt; 65 kW</v>
      </c>
    </row>
    <row r="232" spans="3:3" x14ac:dyDescent="0.3">
      <c r="C232" t="str">
        <f>C27</f>
        <v>Bomba de calor ar-água (unidade exterior/unidade interior)</v>
      </c>
    </row>
    <row r="233" spans="3:3" x14ac:dyDescent="0.3">
      <c r="C233" t="str">
        <f t="shared" ref="C233" si="1">C28</f>
        <v>Caldeira mural com radiadores constituídos por elementos</v>
      </c>
    </row>
    <row r="234" spans="3:3" x14ac:dyDescent="0.3">
      <c r="C234" t="str">
        <f>C30</f>
        <v>Substituição de lâmpadas convencionais por tubos de led</v>
      </c>
    </row>
    <row r="235" spans="3:3" x14ac:dyDescent="0.3">
      <c r="C235" t="str">
        <f>C31</f>
        <v>Substituição de lâmpadas dicroicas por led</v>
      </c>
    </row>
  </sheetData>
  <sheetProtection algorithmName="SHA-512" hashValue="pkMMihkgrHfK4Cnis0kecOp4ElxvwPxqD42aob2GtUGWsUIsfSvXYMWWeW65lnbDJUi06iExEFudGMRj5HQ9aA==" saltValue="/W0514aZU9wXp8wSUYq1XA==" spinCount="100000" sheet="1" objects="1" scenarios="1"/>
  <mergeCells count="9">
    <mergeCell ref="B42:B44"/>
    <mergeCell ref="B46:B49"/>
    <mergeCell ref="B3:B7"/>
    <mergeCell ref="B8:B11"/>
    <mergeCell ref="B27:B28"/>
    <mergeCell ref="B30:B31"/>
    <mergeCell ref="B33:B40"/>
    <mergeCell ref="B13:B17"/>
    <mergeCell ref="B19:B2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27"/>
  <sheetViews>
    <sheetView showGridLines="0" zoomScaleNormal="100" workbookViewId="0">
      <selection activeCell="F11" sqref="F11"/>
    </sheetView>
  </sheetViews>
  <sheetFormatPr defaultColWidth="8.6640625" defaultRowHeight="14.4" x14ac:dyDescent="0.3"/>
  <cols>
    <col min="1" max="1" width="28.109375" style="4" bestFit="1" customWidth="1"/>
    <col min="2" max="2" width="6.6640625" style="4" customWidth="1"/>
    <col min="3" max="3" width="14.5546875" style="4" customWidth="1"/>
    <col min="4" max="8" width="13.44140625" style="4" customWidth="1"/>
    <col min="9" max="9" width="17.5546875" style="4" customWidth="1"/>
    <col min="10" max="10" width="13.44140625" style="4" customWidth="1"/>
    <col min="11" max="11" width="3.5546875" style="4" customWidth="1"/>
    <col min="12" max="13" width="11.5546875" style="4" customWidth="1"/>
    <col min="14" max="14" width="12.6640625" style="4" customWidth="1"/>
    <col min="15" max="16384" width="8.6640625" style="4"/>
  </cols>
  <sheetData>
    <row r="1" spans="1:14" ht="26.25" customHeight="1" x14ac:dyDescent="0.35">
      <c r="A1" s="1217" t="s">
        <v>220</v>
      </c>
      <c r="B1" s="1218"/>
      <c r="C1" s="1218"/>
      <c r="D1" s="1218"/>
      <c r="E1" s="1218"/>
      <c r="F1" s="1218"/>
      <c r="G1" s="1218"/>
      <c r="H1" s="1218"/>
      <c r="I1" s="1218"/>
      <c r="J1" s="1218"/>
      <c r="K1" s="31"/>
      <c r="L1" s="1214" t="s">
        <v>444</v>
      </c>
      <c r="M1" s="1215"/>
      <c r="N1" s="1216"/>
    </row>
    <row r="2" spans="1:14" x14ac:dyDescent="0.3">
      <c r="A2" s="355" t="s">
        <v>246</v>
      </c>
      <c r="B2" s="356">
        <v>3.6</v>
      </c>
      <c r="C2" s="354"/>
      <c r="D2" s="354"/>
      <c r="E2" s="354"/>
      <c r="F2" s="354"/>
      <c r="G2" s="354"/>
      <c r="H2" s="354"/>
      <c r="I2" s="354"/>
      <c r="J2" s="357"/>
      <c r="K2" s="34"/>
      <c r="L2" s="35"/>
      <c r="M2" s="37" t="s">
        <v>46</v>
      </c>
      <c r="N2" s="34"/>
    </row>
    <row r="3" spans="1:14" x14ac:dyDescent="0.3">
      <c r="A3" s="358">
        <v>1</v>
      </c>
      <c r="B3" s="359">
        <v>2</v>
      </c>
      <c r="C3" s="359">
        <v>3</v>
      </c>
      <c r="D3" s="359">
        <v>4</v>
      </c>
      <c r="E3" s="359">
        <v>5</v>
      </c>
      <c r="F3" s="359">
        <v>6</v>
      </c>
      <c r="G3" s="359">
        <v>7</v>
      </c>
      <c r="H3" s="359">
        <v>8</v>
      </c>
      <c r="I3" s="359">
        <v>9</v>
      </c>
      <c r="J3" s="359">
        <v>10</v>
      </c>
      <c r="K3" s="34"/>
      <c r="L3" s="35"/>
      <c r="M3" s="39" t="s">
        <v>47</v>
      </c>
      <c r="N3" s="34"/>
    </row>
    <row r="4" spans="1:14" x14ac:dyDescent="0.3">
      <c r="A4" s="358"/>
      <c r="B4" s="359"/>
      <c r="C4" s="1222" t="s">
        <v>214</v>
      </c>
      <c r="D4" s="1222" t="s">
        <v>199</v>
      </c>
      <c r="E4" s="1222" t="s">
        <v>200</v>
      </c>
      <c r="F4" s="1222" t="s">
        <v>201</v>
      </c>
      <c r="G4" s="1222" t="s">
        <v>218</v>
      </c>
      <c r="H4" s="1222" t="s">
        <v>215</v>
      </c>
      <c r="I4" s="1222" t="s">
        <v>217</v>
      </c>
      <c r="J4" s="1222" t="s">
        <v>216</v>
      </c>
      <c r="K4" s="34"/>
      <c r="L4" s="35"/>
      <c r="M4" s="36"/>
      <c r="N4" s="34"/>
    </row>
    <row r="5" spans="1:14" ht="15" customHeight="1" x14ac:dyDescent="0.3">
      <c r="A5" s="40" t="s">
        <v>115</v>
      </c>
      <c r="B5" s="548"/>
      <c r="C5" s="1222"/>
      <c r="D5" s="1222"/>
      <c r="E5" s="1222"/>
      <c r="F5" s="1222"/>
      <c r="G5" s="1222"/>
      <c r="H5" s="1222"/>
      <c r="I5" s="1222"/>
      <c r="J5" s="1222"/>
      <c r="K5" s="34"/>
      <c r="L5" s="1219" t="s">
        <v>393</v>
      </c>
      <c r="M5" s="1220"/>
      <c r="N5" s="1221"/>
    </row>
    <row r="6" spans="1:14" x14ac:dyDescent="0.3">
      <c r="A6" s="41" t="s">
        <v>176</v>
      </c>
      <c r="B6" s="349"/>
      <c r="C6" s="42">
        <v>2.5</v>
      </c>
      <c r="D6" s="43"/>
      <c r="E6" s="44"/>
      <c r="F6" s="347">
        <v>2.1499999999999999E-4</v>
      </c>
      <c r="G6" s="43"/>
      <c r="H6" s="43"/>
      <c r="I6" s="45">
        <f>0.144*C6</f>
        <v>0.36</v>
      </c>
      <c r="J6" s="45">
        <v>0.47</v>
      </c>
      <c r="K6" s="34"/>
      <c r="L6" s="35"/>
      <c r="M6" s="47" t="s">
        <v>394</v>
      </c>
      <c r="N6" s="34"/>
    </row>
    <row r="7" spans="1:14" x14ac:dyDescent="0.3">
      <c r="A7" s="41" t="s">
        <v>177</v>
      </c>
      <c r="B7" s="350"/>
      <c r="C7" s="42">
        <v>1</v>
      </c>
      <c r="D7" s="43">
        <f>+(42.3+43.3)/2</f>
        <v>42.8</v>
      </c>
      <c r="E7" s="44">
        <f>+(1.01+1.034)/2</f>
        <v>1.022</v>
      </c>
      <c r="F7" s="347">
        <f>+(E7/1000)*$B$2/D7</f>
        <v>8.5962616822429926E-5</v>
      </c>
      <c r="G7" s="43">
        <v>74</v>
      </c>
      <c r="H7" s="43">
        <v>3098.2</v>
      </c>
      <c r="I7" s="45">
        <f>0.267*C7</f>
        <v>0.26700000000000002</v>
      </c>
      <c r="J7" s="45">
        <f>H7*F7</f>
        <v>0.26632937943925239</v>
      </c>
      <c r="K7" s="34"/>
      <c r="L7" s="35"/>
      <c r="M7" s="47" t="s">
        <v>395</v>
      </c>
      <c r="N7" s="34"/>
    </row>
    <row r="8" spans="1:14" x14ac:dyDescent="0.3">
      <c r="A8" s="46" t="s">
        <v>114</v>
      </c>
      <c r="B8" s="350"/>
      <c r="C8" s="42">
        <v>1</v>
      </c>
      <c r="D8" s="43">
        <v>45.1</v>
      </c>
      <c r="E8" s="44">
        <v>1.077</v>
      </c>
      <c r="F8" s="347">
        <f>+(E8/1000)*$B$2/D8</f>
        <v>8.5968957871396907E-5</v>
      </c>
      <c r="G8" s="43">
        <v>64.099999999999994</v>
      </c>
      <c r="H8" s="43">
        <v>2683.7</v>
      </c>
      <c r="I8" s="45">
        <f>0.202*C8</f>
        <v>0.20200000000000001</v>
      </c>
      <c r="J8" s="45">
        <f t="shared" ref="J8:J12" si="0">H8*F8</f>
        <v>0.23071489223946787</v>
      </c>
      <c r="K8" s="34"/>
      <c r="L8" s="1219" t="s">
        <v>153</v>
      </c>
      <c r="M8" s="1220"/>
      <c r="N8" s="1221"/>
    </row>
    <row r="9" spans="1:14" ht="15" x14ac:dyDescent="0.25">
      <c r="A9" s="41" t="s">
        <v>174</v>
      </c>
      <c r="B9" s="350"/>
      <c r="C9" s="42">
        <v>1</v>
      </c>
      <c r="D9" s="43">
        <f>+(46+47.3)/2</f>
        <v>46.65</v>
      </c>
      <c r="E9" s="44">
        <f>+(1.099+1.13)/2</f>
        <v>1.1145</v>
      </c>
      <c r="F9" s="347">
        <f>+(E9/1000)*$B$2/D9</f>
        <v>8.6006430868167211E-5</v>
      </c>
      <c r="G9" s="43">
        <v>63</v>
      </c>
      <c r="H9" s="43">
        <v>2637.7</v>
      </c>
      <c r="I9" s="45">
        <f>0.17*C9</f>
        <v>0.17</v>
      </c>
      <c r="J9" s="45">
        <f t="shared" si="0"/>
        <v>0.22685916270096465</v>
      </c>
      <c r="K9" s="34"/>
      <c r="L9" s="35"/>
      <c r="M9" s="47" t="s">
        <v>78</v>
      </c>
      <c r="N9" s="34"/>
    </row>
    <row r="10" spans="1:14" x14ac:dyDescent="0.3">
      <c r="A10" s="32" t="s">
        <v>178</v>
      </c>
      <c r="B10" s="350"/>
      <c r="C10" s="42">
        <v>1</v>
      </c>
      <c r="D10" s="43">
        <f>+(13.8+15.6)/2</f>
        <v>14.7</v>
      </c>
      <c r="E10" s="44">
        <f>+(0.33+0.373)/2</f>
        <v>0.35150000000000003</v>
      </c>
      <c r="F10" s="347">
        <f>+(E10/1000)*$B$2/D10</f>
        <v>8.6081632653061237E-5</v>
      </c>
      <c r="G10" s="43">
        <v>0</v>
      </c>
      <c r="H10" s="43">
        <v>0</v>
      </c>
      <c r="I10" s="45"/>
      <c r="J10" s="45"/>
      <c r="K10" s="34"/>
      <c r="L10" s="35"/>
      <c r="M10" s="47" t="s">
        <v>79</v>
      </c>
      <c r="N10" s="34"/>
    </row>
    <row r="11" spans="1:14" ht="15" x14ac:dyDescent="0.25">
      <c r="A11" s="32" t="s">
        <v>179</v>
      </c>
      <c r="B11" s="350"/>
      <c r="C11" s="42">
        <v>1</v>
      </c>
      <c r="D11" s="43">
        <v>16.8</v>
      </c>
      <c r="E11" s="44">
        <v>0.40100000000000002</v>
      </c>
      <c r="F11" s="347">
        <f>+(E11/1000)*$B$2/D11</f>
        <v>8.5928571428571434E-5</v>
      </c>
      <c r="G11" s="43">
        <v>0</v>
      </c>
      <c r="H11" s="43">
        <v>0</v>
      </c>
      <c r="I11" s="45"/>
      <c r="J11" s="45"/>
      <c r="K11" s="34"/>
      <c r="L11" s="35"/>
      <c r="M11" s="47" t="s">
        <v>80</v>
      </c>
      <c r="N11" s="34"/>
    </row>
    <row r="12" spans="1:14" x14ac:dyDescent="0.3">
      <c r="A12" s="32" t="s">
        <v>173</v>
      </c>
      <c r="B12" s="350"/>
      <c r="C12" s="42">
        <v>1</v>
      </c>
      <c r="D12" s="42"/>
      <c r="E12" s="44"/>
      <c r="F12" s="347"/>
      <c r="G12" s="43">
        <v>0</v>
      </c>
      <c r="H12" s="43">
        <v>0</v>
      </c>
      <c r="I12" s="45">
        <v>0</v>
      </c>
      <c r="J12" s="45">
        <f t="shared" si="0"/>
        <v>0</v>
      </c>
      <c r="K12" s="34"/>
      <c r="L12" s="35"/>
      <c r="M12" s="47" t="s">
        <v>81</v>
      </c>
      <c r="N12" s="34"/>
    </row>
    <row r="13" spans="1:14" ht="15" x14ac:dyDescent="0.25">
      <c r="A13" s="32" t="s">
        <v>172</v>
      </c>
      <c r="B13" s="350"/>
      <c r="C13" s="42"/>
      <c r="D13" s="33"/>
      <c r="E13" s="33"/>
      <c r="F13" s="348"/>
      <c r="G13" s="33"/>
      <c r="H13" s="42"/>
      <c r="I13" s="42"/>
      <c r="J13" s="42"/>
      <c r="K13" s="34"/>
      <c r="L13" s="35"/>
      <c r="M13" s="47" t="s">
        <v>82</v>
      </c>
      <c r="N13" s="34"/>
    </row>
    <row r="14" spans="1:14" ht="15" x14ac:dyDescent="0.25">
      <c r="A14" s="32" t="str">
        <f>+""</f>
        <v/>
      </c>
      <c r="B14" s="351"/>
      <c r="C14" s="42"/>
      <c r="D14" s="33"/>
      <c r="E14" s="33"/>
      <c r="F14" s="348"/>
      <c r="G14" s="33"/>
      <c r="H14" s="42"/>
      <c r="I14" s="42"/>
      <c r="J14" s="42"/>
      <c r="K14" s="34"/>
      <c r="L14" s="35"/>
      <c r="M14" s="47" t="s">
        <v>97</v>
      </c>
      <c r="N14" s="34"/>
    </row>
    <row r="15" spans="1:14" ht="15" x14ac:dyDescent="0.25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4"/>
      <c r="L15" s="35"/>
      <c r="M15" s="47" t="s">
        <v>83</v>
      </c>
      <c r="N15" s="34"/>
    </row>
    <row r="16" spans="1:14" ht="15" x14ac:dyDescent="0.25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4"/>
      <c r="L16" s="35"/>
      <c r="M16" s="47" t="s">
        <v>84</v>
      </c>
      <c r="N16" s="34"/>
    </row>
    <row r="17" spans="1:14" ht="15.75" thickBot="1" x14ac:dyDescent="0.3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50"/>
      <c r="L17" s="48"/>
      <c r="M17" s="49"/>
      <c r="N17" s="50"/>
    </row>
    <row r="18" spans="1:14" x14ac:dyDescent="0.3">
      <c r="A18" s="379" t="s">
        <v>437</v>
      </c>
      <c r="C18" s="379" t="s">
        <v>340</v>
      </c>
      <c r="D18" s="57"/>
      <c r="E18" s="57"/>
      <c r="F18" s="31"/>
      <c r="G18" s="1212" t="s">
        <v>398</v>
      </c>
      <c r="H18" s="1213"/>
      <c r="I18" s="564" t="s">
        <v>423</v>
      </c>
    </row>
    <row r="19" spans="1:14" ht="15" x14ac:dyDescent="0.25">
      <c r="A19" s="35"/>
      <c r="B19" s="36"/>
      <c r="C19" s="35"/>
      <c r="D19" s="36"/>
      <c r="E19" s="36"/>
      <c r="F19" s="34"/>
      <c r="G19" s="36"/>
      <c r="H19" s="34"/>
      <c r="I19" s="562"/>
      <c r="K19" s="51"/>
    </row>
    <row r="20" spans="1:14" s="21" customFormat="1" ht="15.75" customHeight="1" x14ac:dyDescent="0.25">
      <c r="A20" s="380" t="s">
        <v>433</v>
      </c>
      <c r="B20" s="381">
        <v>0.85</v>
      </c>
      <c r="C20" s="380" t="s">
        <v>433</v>
      </c>
      <c r="D20" s="381">
        <v>0.95</v>
      </c>
      <c r="F20" s="100"/>
      <c r="G20" s="584" t="s">
        <v>438</v>
      </c>
      <c r="H20" s="585"/>
      <c r="I20" s="587" t="s">
        <v>440</v>
      </c>
      <c r="K20" s="53"/>
    </row>
    <row r="21" spans="1:14" s="36" customFormat="1" ht="15.75" customHeight="1" x14ac:dyDescent="0.3">
      <c r="A21" s="35" t="s">
        <v>341</v>
      </c>
      <c r="B21" s="567">
        <v>0.85</v>
      </c>
      <c r="C21" s="35" t="s">
        <v>341</v>
      </c>
      <c r="D21" s="567">
        <v>0.95</v>
      </c>
      <c r="F21" s="34"/>
      <c r="G21" s="565" t="s">
        <v>399</v>
      </c>
      <c r="H21" s="551"/>
      <c r="I21" s="588" t="s">
        <v>424</v>
      </c>
      <c r="K21" s="54"/>
    </row>
    <row r="22" spans="1:14" s="36" customFormat="1" ht="15.75" customHeight="1" x14ac:dyDescent="0.25">
      <c r="A22" s="382" t="s">
        <v>430</v>
      </c>
      <c r="B22" s="381">
        <v>0.85</v>
      </c>
      <c r="C22" s="382" t="s">
        <v>430</v>
      </c>
      <c r="D22" s="381">
        <v>0.95</v>
      </c>
      <c r="F22" s="34"/>
      <c r="G22" s="566" t="s">
        <v>400</v>
      </c>
      <c r="H22" s="299"/>
      <c r="I22" s="562"/>
      <c r="K22" s="54"/>
    </row>
    <row r="23" spans="1:14" s="36" customFormat="1" x14ac:dyDescent="0.3">
      <c r="A23" s="382" t="s">
        <v>342</v>
      </c>
      <c r="B23" s="378">
        <v>0.5</v>
      </c>
      <c r="C23" s="382" t="s">
        <v>342</v>
      </c>
      <c r="D23" s="378">
        <v>0.5</v>
      </c>
      <c r="F23" s="34"/>
      <c r="H23" s="34"/>
      <c r="I23" s="562"/>
      <c r="K23" s="54"/>
    </row>
    <row r="24" spans="1:14" s="36" customFormat="1" ht="15" thickBot="1" x14ac:dyDescent="0.35">
      <c r="A24" s="382" t="s">
        <v>343</v>
      </c>
      <c r="B24" s="378">
        <v>0.8</v>
      </c>
      <c r="C24" s="382" t="s">
        <v>343</v>
      </c>
      <c r="D24" s="378">
        <v>0.8</v>
      </c>
      <c r="F24" s="34"/>
      <c r="G24" s="49"/>
      <c r="H24" s="50"/>
      <c r="I24" s="563"/>
      <c r="K24" s="54"/>
    </row>
    <row r="25" spans="1:14" s="36" customFormat="1" ht="15" thickBot="1" x14ac:dyDescent="0.35">
      <c r="C25" s="48"/>
      <c r="D25" s="49"/>
      <c r="E25" s="49"/>
      <c r="F25" s="50"/>
      <c r="K25" s="54"/>
    </row>
    <row r="26" spans="1:14" s="36" customFormat="1" x14ac:dyDescent="0.3">
      <c r="C26" s="4"/>
      <c r="D26" s="4"/>
      <c r="E26" s="4"/>
      <c r="F26" s="4"/>
      <c r="K26" s="11"/>
      <c r="L26" s="11"/>
      <c r="M26" s="11"/>
    </row>
    <row r="27" spans="1:14" x14ac:dyDescent="0.3">
      <c r="G27" s="36"/>
      <c r="H27" s="36"/>
      <c r="I27" s="36"/>
    </row>
  </sheetData>
  <sheetProtection algorithmName="SHA-512" hashValue="I+xRsJZ3qugw1SCV5e68tYPiZp4v1+oF+ucxWyhh24BAbeerfum7bwgcFnkeU5a948Q7gVJVplSoW3KhYcP92Q==" saltValue="JAQBr4zEZnJKqHLeGrnGeg==" spinCount="100000" sheet="1" objects="1" scenarios="1"/>
  <mergeCells count="13">
    <mergeCell ref="G18:H18"/>
    <mergeCell ref="L1:N1"/>
    <mergeCell ref="A1:J1"/>
    <mergeCell ref="L8:N8"/>
    <mergeCell ref="L5:N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1"/>
  <sheetViews>
    <sheetView zoomScaleNormal="100" workbookViewId="0">
      <selection activeCell="E14" sqref="E14:G14"/>
    </sheetView>
  </sheetViews>
  <sheetFormatPr defaultColWidth="9.109375" defaultRowHeight="14.4" x14ac:dyDescent="0.3"/>
  <cols>
    <col min="1" max="1" width="3.44140625" style="4" customWidth="1"/>
    <col min="2" max="2" width="36.5546875" style="4" bestFit="1" customWidth="1"/>
    <col min="3" max="3" width="35.5546875" style="4" customWidth="1"/>
    <col min="4" max="4" width="7.44140625" style="4" customWidth="1"/>
    <col min="5" max="5" width="29" style="4" customWidth="1"/>
    <col min="6" max="6" width="28.6640625" style="4" customWidth="1"/>
    <col min="7" max="7" width="27.33203125" style="4" bestFit="1" customWidth="1"/>
    <col min="8" max="8" width="16" style="4" bestFit="1" customWidth="1"/>
    <col min="9" max="9" width="18.109375" style="4" customWidth="1"/>
    <col min="10" max="10" width="9.109375" style="4" customWidth="1"/>
    <col min="11" max="11" width="5.88671875" style="4" customWidth="1"/>
    <col min="12" max="12" width="13.44140625" style="4" bestFit="1" customWidth="1"/>
    <col min="13" max="13" width="14.5546875" style="4" customWidth="1"/>
    <col min="14" max="14" width="13.109375" style="4" customWidth="1"/>
    <col min="15" max="15" width="17" style="4" bestFit="1" customWidth="1"/>
    <col min="16" max="16384" width="9.109375" style="4"/>
  </cols>
  <sheetData>
    <row r="1" spans="2:12" ht="15.75" thickBot="1" x14ac:dyDescent="0.3"/>
    <row r="2" spans="2:12" s="851" customFormat="1" ht="15.75" thickBot="1" x14ac:dyDescent="0.3">
      <c r="B2" s="287" t="s">
        <v>70</v>
      </c>
      <c r="C2" s="750">
        <f>'12.2 Apoio não reembolsável'!D42</f>
        <v>0</v>
      </c>
      <c r="D2" s="848"/>
      <c r="E2" s="1276" t="str">
        <f>IF('1. Identificação Ben. Oper.'!D22="","",'1. Identificação Ben. Oper.'!D22)</f>
        <v/>
      </c>
      <c r="F2" s="1277"/>
      <c r="G2" s="1278"/>
      <c r="H2" s="849"/>
      <c r="I2" s="850"/>
      <c r="J2" s="1223" t="s">
        <v>542</v>
      </c>
      <c r="K2" s="1223"/>
      <c r="L2" s="850"/>
    </row>
    <row r="3" spans="2:12" s="851" customFormat="1" ht="15.75" thickBot="1" x14ac:dyDescent="0.3">
      <c r="B3" s="288" t="s">
        <v>71</v>
      </c>
      <c r="C3" s="751">
        <f>'12.2 Apoio não reembolsável'!D43</f>
        <v>0</v>
      </c>
      <c r="D3" s="848"/>
      <c r="E3" s="1255" t="s">
        <v>519</v>
      </c>
      <c r="F3" s="1256"/>
      <c r="G3" s="1257"/>
      <c r="H3" s="849"/>
      <c r="I3" s="850"/>
      <c r="J3" s="852" t="s">
        <v>84</v>
      </c>
      <c r="K3" s="853">
        <v>7</v>
      </c>
      <c r="L3" s="850"/>
    </row>
    <row r="4" spans="2:12" s="851" customFormat="1" ht="28.8" x14ac:dyDescent="0.3">
      <c r="B4" s="288" t="s">
        <v>325</v>
      </c>
      <c r="C4" s="753">
        <f>'12.2 Apoio não reembolsável'!D44</f>
        <v>0</v>
      </c>
      <c r="D4" s="854"/>
      <c r="E4" s="855" t="s">
        <v>500</v>
      </c>
      <c r="F4" s="856" t="s">
        <v>501</v>
      </c>
      <c r="G4" s="857" t="s">
        <v>502</v>
      </c>
      <c r="H4" s="849"/>
      <c r="I4" s="843"/>
      <c r="J4" s="858" t="s">
        <v>83</v>
      </c>
      <c r="K4" s="853">
        <v>6</v>
      </c>
      <c r="L4" s="843"/>
    </row>
    <row r="5" spans="2:12" s="851" customFormat="1" ht="15" thickBot="1" x14ac:dyDescent="0.35">
      <c r="B5" s="288" t="s">
        <v>328</v>
      </c>
      <c r="C5" s="751">
        <f>'12.2 Apoio não reembolsável'!D45</f>
        <v>0</v>
      </c>
      <c r="D5" s="848"/>
      <c r="E5" s="859">
        <f>'1. Identificação Ben. Oper.'!D54</f>
        <v>0</v>
      </c>
      <c r="F5" s="860">
        <f>'13. Indicadores'!F19*0.000086</f>
        <v>0</v>
      </c>
      <c r="G5" s="861" t="e">
        <f>+F5/E5</f>
        <v>#DIV/0!</v>
      </c>
      <c r="H5" s="849"/>
      <c r="I5" s="850"/>
      <c r="J5" s="852" t="s">
        <v>97</v>
      </c>
      <c r="K5" s="853">
        <v>5</v>
      </c>
      <c r="L5" s="843"/>
    </row>
    <row r="6" spans="2:12" s="851" customFormat="1" ht="15.75" thickBot="1" x14ac:dyDescent="0.3">
      <c r="B6" s="288" t="s">
        <v>72</v>
      </c>
      <c r="C6" s="752">
        <f>'12.2 Apoio não reembolsável'!D46</f>
        <v>0</v>
      </c>
      <c r="D6" s="848"/>
      <c r="E6" s="1255" t="s">
        <v>520</v>
      </c>
      <c r="F6" s="1256"/>
      <c r="G6" s="1257"/>
      <c r="H6" s="849"/>
      <c r="I6" s="850"/>
      <c r="J6" s="852" t="s">
        <v>82</v>
      </c>
      <c r="K6" s="853">
        <v>4</v>
      </c>
      <c r="L6" s="843"/>
    </row>
    <row r="7" spans="2:12" s="851" customFormat="1" ht="28.8" x14ac:dyDescent="0.3">
      <c r="B7" s="289" t="s">
        <v>136</v>
      </c>
      <c r="C7" s="753">
        <f>'12.2 Apoio não reembolsável'!D47</f>
        <v>0</v>
      </c>
      <c r="D7" s="848"/>
      <c r="E7" s="855" t="s">
        <v>503</v>
      </c>
      <c r="F7" s="856" t="s">
        <v>504</v>
      </c>
      <c r="G7" s="857" t="s">
        <v>502</v>
      </c>
      <c r="H7" s="849"/>
      <c r="I7" s="850"/>
      <c r="J7" s="852" t="s">
        <v>81</v>
      </c>
      <c r="K7" s="853">
        <v>3</v>
      </c>
      <c r="L7" s="843"/>
    </row>
    <row r="8" spans="2:12" s="851" customFormat="1" ht="15.75" thickBot="1" x14ac:dyDescent="0.3">
      <c r="B8" s="371" t="s">
        <v>137</v>
      </c>
      <c r="C8" s="753">
        <f>'12.2 Apoio não reembolsável'!D48</f>
        <v>0</v>
      </c>
      <c r="D8" s="848"/>
      <c r="E8" s="859">
        <f>'1. Identificação Ben. Oper.'!D48</f>
        <v>0</v>
      </c>
      <c r="F8" s="862">
        <f>'2. Medidas a).i)'!AA21+'3. Medidas a).ii)'!AA21+'4. Medidas a).iii) Sistemas'!AB21+'5. Medidas a).iii) Iluminação'!AA21+'6. Medidas a).iv)'!AA20+'7. Medidas b).i)'!AB21+'8. Medidas b).ii)'!AA21</f>
        <v>0</v>
      </c>
      <c r="G8" s="861" t="e">
        <f>F8/E8</f>
        <v>#DIV/0!</v>
      </c>
      <c r="H8" s="849"/>
      <c r="I8" s="850"/>
      <c r="J8" s="852" t="s">
        <v>80</v>
      </c>
      <c r="K8" s="853">
        <v>2</v>
      </c>
      <c r="L8" s="843"/>
    </row>
    <row r="9" spans="2:12" s="851" customFormat="1" ht="15.75" thickBot="1" x14ac:dyDescent="0.3">
      <c r="B9" s="290" t="s">
        <v>74</v>
      </c>
      <c r="C9" s="754">
        <f>'12.2 Apoio não reembolsável'!D49</f>
        <v>0</v>
      </c>
      <c r="D9" s="854"/>
      <c r="E9" s="1255" t="s">
        <v>521</v>
      </c>
      <c r="F9" s="1256"/>
      <c r="G9" s="1257"/>
      <c r="H9" s="863"/>
      <c r="I9" s="843"/>
      <c r="J9" s="858" t="s">
        <v>79</v>
      </c>
      <c r="K9" s="853">
        <v>1</v>
      </c>
      <c r="L9" s="843"/>
    </row>
    <row r="10" spans="2:12" s="851" customFormat="1" ht="29.4" thickBot="1" x14ac:dyDescent="0.35">
      <c r="B10" s="290" t="s">
        <v>329</v>
      </c>
      <c r="C10" s="754">
        <f>'12.2 Apoio não reembolsável'!D50</f>
        <v>0</v>
      </c>
      <c r="E10" s="864" t="s">
        <v>505</v>
      </c>
      <c r="F10" s="865" t="s">
        <v>506</v>
      </c>
      <c r="G10" s="857" t="s">
        <v>507</v>
      </c>
      <c r="J10" s="866" t="s">
        <v>78</v>
      </c>
      <c r="K10" s="853">
        <v>0</v>
      </c>
      <c r="L10" s="867"/>
    </row>
    <row r="11" spans="2:12" s="851" customFormat="1" ht="30.75" thickBot="1" x14ac:dyDescent="0.3">
      <c r="B11" s="846" t="s">
        <v>508</v>
      </c>
      <c r="C11" s="755">
        <f>'12.2 Apoio não reembolsável'!D51</f>
        <v>0</v>
      </c>
      <c r="D11" s="838"/>
      <c r="E11" s="896">
        <f>B17</f>
        <v>0</v>
      </c>
      <c r="F11" s="868">
        <f>F5</f>
        <v>0</v>
      </c>
      <c r="G11" s="869" t="e">
        <f>E11/F11</f>
        <v>#DIV/0!</v>
      </c>
    </row>
    <row r="12" spans="2:12" s="851" customFormat="1" ht="29.4" thickBot="1" x14ac:dyDescent="0.35">
      <c r="B12" s="207" t="s">
        <v>509</v>
      </c>
      <c r="C12" s="756">
        <f>'12.2 Apoio não reembolsável'!D52</f>
        <v>0</v>
      </c>
      <c r="D12" s="839"/>
      <c r="E12" s="982" t="s">
        <v>522</v>
      </c>
      <c r="F12" s="983"/>
      <c r="G12" s="984"/>
      <c r="H12" s="65"/>
      <c r="I12" s="838"/>
      <c r="J12" s="838"/>
      <c r="K12" s="838"/>
      <c r="L12" s="838"/>
    </row>
    <row r="13" spans="2:12" s="851" customFormat="1" ht="29.4" thickBot="1" x14ac:dyDescent="0.35">
      <c r="B13" s="286" t="s">
        <v>154</v>
      </c>
      <c r="C13" s="757">
        <f>'12.2 Apoio não reembolsável'!D53</f>
        <v>0</v>
      </c>
      <c r="D13" s="842"/>
      <c r="E13" s="1273" t="s">
        <v>539</v>
      </c>
      <c r="F13" s="1274"/>
      <c r="G13" s="1275"/>
      <c r="H13" s="65"/>
      <c r="I13" s="840"/>
      <c r="J13" s="838"/>
      <c r="K13" s="838"/>
      <c r="L13" s="838"/>
    </row>
    <row r="14" spans="2:12" s="851" customFormat="1" ht="43.8" thickBot="1" x14ac:dyDescent="0.35">
      <c r="B14" s="846" t="s">
        <v>431</v>
      </c>
      <c r="C14" s="847" t="str">
        <f>'12.2 Apoio não reembolsável'!D54</f>
        <v>N.A.</v>
      </c>
      <c r="D14" s="842"/>
      <c r="E14" s="1252"/>
      <c r="F14" s="1253"/>
      <c r="G14" s="1254"/>
      <c r="H14" s="839"/>
      <c r="I14" s="839"/>
      <c r="J14" s="839"/>
      <c r="K14" s="839"/>
      <c r="L14" s="839"/>
    </row>
    <row r="15" spans="2:12" s="851" customFormat="1" ht="15.75" thickBot="1" x14ac:dyDescent="0.3">
      <c r="B15" s="20"/>
      <c r="C15" s="841"/>
      <c r="D15" s="842"/>
      <c r="E15" s="1255" t="s">
        <v>523</v>
      </c>
      <c r="F15" s="1256"/>
      <c r="G15" s="1257"/>
      <c r="H15" s="870"/>
      <c r="I15" s="19"/>
      <c r="J15" s="842"/>
      <c r="K15" s="842"/>
      <c r="L15" s="843"/>
    </row>
    <row r="16" spans="2:12" s="851" customFormat="1" ht="16.2" thickBot="1" x14ac:dyDescent="0.35">
      <c r="B16" s="871" t="s">
        <v>510</v>
      </c>
      <c r="D16" s="872"/>
      <c r="E16" s="855" t="s">
        <v>541</v>
      </c>
      <c r="F16" s="1264" t="s">
        <v>540</v>
      </c>
      <c r="G16" s="1265"/>
    </row>
    <row r="17" spans="2:8" ht="16.2" thickBot="1" x14ac:dyDescent="0.35">
      <c r="B17" s="873">
        <f>C13</f>
        <v>0</v>
      </c>
      <c r="E17" s="874" t="str">
        <f>IF('1. Identificação Ben. Oper.'!D78="","",'1. Identificação Ben. Oper.'!D78)</f>
        <v/>
      </c>
      <c r="F17" s="1266" t="e">
        <f>VLOOKUP(E17,J3:K10,2,FALSE)-VLOOKUP('1. Identificação Ben. Oper.'!D47,J3:K10,2,FALSE)</f>
        <v>#N/A</v>
      </c>
      <c r="G17" s="1267"/>
    </row>
    <row r="18" spans="2:8" ht="15" thickBot="1" x14ac:dyDescent="0.35"/>
    <row r="19" spans="2:8" ht="15" thickBot="1" x14ac:dyDescent="0.35">
      <c r="B19" s="1258" t="s">
        <v>518</v>
      </c>
      <c r="C19" s="1259"/>
    </row>
    <row r="20" spans="2:8" ht="15" thickBot="1" x14ac:dyDescent="0.35">
      <c r="B20" s="1260" t="s">
        <v>511</v>
      </c>
      <c r="C20" s="1261"/>
    </row>
    <row r="21" spans="2:8" ht="15.75" customHeight="1" thickBot="1" x14ac:dyDescent="0.35">
      <c r="B21" s="875" t="s">
        <v>519</v>
      </c>
      <c r="C21" s="876" t="e">
        <f>IF(G5&lt;10%,1,IF(G5&lt;=30%,3,5))</f>
        <v>#DIV/0!</v>
      </c>
      <c r="E21" s="146"/>
      <c r="F21" s="1262" t="s">
        <v>410</v>
      </c>
      <c r="G21" s="1263"/>
    </row>
    <row r="22" spans="2:8" ht="15" thickBot="1" x14ac:dyDescent="0.35">
      <c r="B22" s="877" t="s">
        <v>520</v>
      </c>
      <c r="C22" s="878" t="e">
        <f>IF(G8&lt;3%,1,IF(G8&lt;=10%,3,5))</f>
        <v>#DIV/0!</v>
      </c>
      <c r="E22" s="555" t="s">
        <v>409</v>
      </c>
      <c r="F22" s="554" t="str">
        <f>IF('13. Indicadores'!F19=0,"",IF(G22&gt;=30%,"Projeto Elegível","Projeto Não Elegível!"))</f>
        <v/>
      </c>
      <c r="G22" s="765" t="str">
        <f>IF('1. Identificação Ben. Oper.'!D53=0,"",'13. Indicadores'!F19/'1. Identificação Ben. Oper.'!D53)</f>
        <v/>
      </c>
    </row>
    <row r="23" spans="2:8" x14ac:dyDescent="0.3">
      <c r="B23" s="897" t="s">
        <v>521</v>
      </c>
      <c r="C23" s="898" t="e">
        <f>IF(G11&lt;=3000,5,IF(G11&lt;12000,3,1))</f>
        <v>#DIV/0!</v>
      </c>
    </row>
    <row r="24" spans="2:8" x14ac:dyDescent="0.3">
      <c r="B24" s="879" t="s">
        <v>522</v>
      </c>
      <c r="C24" s="880" t="str">
        <f>IF(E14="","Preencher a informação em E14:G14!",IF(E14="Sim",5,1))</f>
        <v>Preencher a informação em E14:G14!</v>
      </c>
    </row>
    <row r="25" spans="2:8" ht="15" thickBot="1" x14ac:dyDescent="0.35">
      <c r="B25" s="881" t="s">
        <v>523</v>
      </c>
      <c r="C25" s="882" t="e">
        <f>IF(OR(E17="A",E17="A+"),5,IF(F17&gt;=2,3,1))</f>
        <v>#N/A</v>
      </c>
    </row>
    <row r="26" spans="2:8" ht="16.2" thickBot="1" x14ac:dyDescent="0.35">
      <c r="B26" s="1268" t="s">
        <v>512</v>
      </c>
      <c r="C26" s="1269"/>
    </row>
    <row r="27" spans="2:8" ht="16.2" thickBot="1" x14ac:dyDescent="0.35">
      <c r="B27" s="883" t="s">
        <v>513</v>
      </c>
      <c r="C27" s="884" t="e">
        <f>C21*0.25+C22*0.2+C23*0.3+C24*0.05+C25*0.2</f>
        <v>#DIV/0!</v>
      </c>
    </row>
    <row r="29" spans="2:8" ht="15" thickBot="1" x14ac:dyDescent="0.35"/>
    <row r="30" spans="2:8" ht="25.5" customHeight="1" thickBot="1" x14ac:dyDescent="0.35">
      <c r="B30" s="1226" t="s">
        <v>527</v>
      </c>
      <c r="C30" s="1227"/>
      <c r="D30" s="1227"/>
      <c r="E30" s="1227"/>
      <c r="F30" s="1227"/>
      <c r="G30" s="1227"/>
      <c r="H30" s="885" t="s">
        <v>532</v>
      </c>
    </row>
    <row r="31" spans="2:8" ht="15" customHeight="1" x14ac:dyDescent="0.3">
      <c r="B31" s="1270" t="s">
        <v>519</v>
      </c>
      <c r="C31" s="1234" t="s">
        <v>526</v>
      </c>
      <c r="D31" s="1235"/>
      <c r="E31" s="1235"/>
      <c r="F31" s="1235"/>
      <c r="G31" s="1235"/>
      <c r="H31" s="886">
        <v>5</v>
      </c>
    </row>
    <row r="32" spans="2:8" ht="15" customHeight="1" x14ac:dyDescent="0.3">
      <c r="B32" s="1271"/>
      <c r="C32" s="1229" t="s">
        <v>525</v>
      </c>
      <c r="D32" s="1242"/>
      <c r="E32" s="1242"/>
      <c r="F32" s="1242"/>
      <c r="G32" s="1242"/>
      <c r="H32" s="887">
        <v>3</v>
      </c>
    </row>
    <row r="33" spans="2:8" ht="15" customHeight="1" thickBot="1" x14ac:dyDescent="0.35">
      <c r="B33" s="1272"/>
      <c r="C33" s="1229" t="s">
        <v>524</v>
      </c>
      <c r="D33" s="1242"/>
      <c r="E33" s="1242"/>
      <c r="F33" s="1242"/>
      <c r="G33" s="1242"/>
      <c r="H33" s="888">
        <v>1</v>
      </c>
    </row>
    <row r="34" spans="2:8" ht="24.75" customHeight="1" thickBot="1" x14ac:dyDescent="0.35">
      <c r="B34" s="1226" t="s">
        <v>514</v>
      </c>
      <c r="C34" s="1227"/>
      <c r="D34" s="1227"/>
      <c r="E34" s="1227"/>
      <c r="F34" s="1227"/>
      <c r="G34" s="1228"/>
      <c r="H34" s="889"/>
    </row>
    <row r="35" spans="2:8" ht="15" customHeight="1" x14ac:dyDescent="0.3">
      <c r="B35" s="1232" t="s">
        <v>520</v>
      </c>
      <c r="C35" s="1240" t="s">
        <v>528</v>
      </c>
      <c r="D35" s="1241"/>
      <c r="E35" s="1241"/>
      <c r="F35" s="1241"/>
      <c r="G35" s="1241"/>
      <c r="H35" s="890">
        <v>5</v>
      </c>
    </row>
    <row r="36" spans="2:8" ht="15" customHeight="1" x14ac:dyDescent="0.3">
      <c r="B36" s="1233"/>
      <c r="C36" s="1229" t="s">
        <v>529</v>
      </c>
      <c r="D36" s="1242"/>
      <c r="E36" s="1242"/>
      <c r="F36" s="1242"/>
      <c r="G36" s="1242"/>
      <c r="H36" s="887">
        <v>3</v>
      </c>
    </row>
    <row r="37" spans="2:8" ht="15.75" customHeight="1" thickBot="1" x14ac:dyDescent="0.35">
      <c r="B37" s="1239"/>
      <c r="C37" s="1237" t="s">
        <v>530</v>
      </c>
      <c r="D37" s="1238"/>
      <c r="E37" s="1238"/>
      <c r="F37" s="1238"/>
      <c r="G37" s="1238"/>
      <c r="H37" s="891">
        <v>1</v>
      </c>
    </row>
    <row r="38" spans="2:8" ht="24.75" customHeight="1" thickBot="1" x14ac:dyDescent="0.35">
      <c r="B38" s="1226" t="s">
        <v>515</v>
      </c>
      <c r="C38" s="1227"/>
      <c r="D38" s="1227"/>
      <c r="E38" s="1227"/>
      <c r="F38" s="1227"/>
      <c r="G38" s="1228"/>
      <c r="H38" s="889"/>
    </row>
    <row r="39" spans="2:8" ht="15" customHeight="1" x14ac:dyDescent="0.3">
      <c r="B39" s="1232" t="s">
        <v>521</v>
      </c>
      <c r="C39" s="1243" t="s">
        <v>544</v>
      </c>
      <c r="D39" s="1244"/>
      <c r="E39" s="1244"/>
      <c r="F39" s="1244"/>
      <c r="G39" s="1244"/>
      <c r="H39" s="890">
        <v>5</v>
      </c>
    </row>
    <row r="40" spans="2:8" ht="15" customHeight="1" x14ac:dyDescent="0.3">
      <c r="B40" s="1233"/>
      <c r="C40" s="1245" t="s">
        <v>545</v>
      </c>
      <c r="D40" s="1246"/>
      <c r="E40" s="1246"/>
      <c r="F40" s="1246"/>
      <c r="G40" s="1246"/>
      <c r="H40" s="887">
        <v>3</v>
      </c>
    </row>
    <row r="41" spans="2:8" ht="15" customHeight="1" thickBot="1" x14ac:dyDescent="0.35">
      <c r="B41" s="1239"/>
      <c r="C41" s="1247" t="s">
        <v>531</v>
      </c>
      <c r="D41" s="1248"/>
      <c r="E41" s="1248"/>
      <c r="F41" s="1248"/>
      <c r="G41" s="1248"/>
      <c r="H41" s="891">
        <v>1</v>
      </c>
    </row>
    <row r="42" spans="2:8" ht="26.25" customHeight="1" thickBot="1" x14ac:dyDescent="0.35">
      <c r="B42" s="1226" t="s">
        <v>516</v>
      </c>
      <c r="C42" s="1227"/>
      <c r="D42" s="1227"/>
      <c r="E42" s="1227"/>
      <c r="F42" s="1227"/>
      <c r="G42" s="1228"/>
      <c r="H42" s="889"/>
    </row>
    <row r="43" spans="2:8" ht="15.75" customHeight="1" x14ac:dyDescent="0.3">
      <c r="B43" s="1232" t="s">
        <v>522</v>
      </c>
      <c r="C43" s="1234" t="s">
        <v>534</v>
      </c>
      <c r="D43" s="1235"/>
      <c r="E43" s="1235"/>
      <c r="F43" s="1235"/>
      <c r="G43" s="1236"/>
      <c r="H43" s="890">
        <v>5</v>
      </c>
    </row>
    <row r="44" spans="2:8" ht="15" customHeight="1" thickBot="1" x14ac:dyDescent="0.35">
      <c r="B44" s="1233"/>
      <c r="C44" s="1237" t="s">
        <v>535</v>
      </c>
      <c r="D44" s="1238"/>
      <c r="E44" s="1238"/>
      <c r="F44" s="1238"/>
      <c r="G44" s="1238"/>
      <c r="H44" s="887">
        <v>1</v>
      </c>
    </row>
    <row r="45" spans="2:8" ht="28.5" customHeight="1" thickBot="1" x14ac:dyDescent="0.35">
      <c r="B45" s="1226" t="s">
        <v>533</v>
      </c>
      <c r="C45" s="1227"/>
      <c r="D45" s="1227"/>
      <c r="E45" s="1227"/>
      <c r="F45" s="1227"/>
      <c r="G45" s="1228"/>
      <c r="H45" s="889"/>
    </row>
    <row r="46" spans="2:8" ht="15" customHeight="1" x14ac:dyDescent="0.3">
      <c r="B46" s="1232" t="s">
        <v>523</v>
      </c>
      <c r="C46" s="1240" t="s">
        <v>536</v>
      </c>
      <c r="D46" s="1251"/>
      <c r="E46" s="1251"/>
      <c r="F46" s="1251"/>
      <c r="G46" s="1251"/>
      <c r="H46" s="890">
        <v>5</v>
      </c>
    </row>
    <row r="47" spans="2:8" ht="15" customHeight="1" x14ac:dyDescent="0.3">
      <c r="B47" s="1249"/>
      <c r="C47" s="1229" t="s">
        <v>537</v>
      </c>
      <c r="D47" s="1230"/>
      <c r="E47" s="1230"/>
      <c r="F47" s="1230"/>
      <c r="G47" s="1231"/>
      <c r="H47" s="892">
        <v>3</v>
      </c>
    </row>
    <row r="48" spans="2:8" ht="15" customHeight="1" thickBot="1" x14ac:dyDescent="0.35">
      <c r="B48" s="1250"/>
      <c r="C48" s="1224" t="s">
        <v>538</v>
      </c>
      <c r="D48" s="1225"/>
      <c r="E48" s="1225"/>
      <c r="F48" s="1225"/>
      <c r="G48" s="1225"/>
      <c r="H48" s="888">
        <v>1</v>
      </c>
    </row>
    <row r="50" spans="10:36" ht="41.4" x14ac:dyDescent="0.3">
      <c r="J50" s="893" t="s">
        <v>517</v>
      </c>
      <c r="AJ50" s="894"/>
    </row>
    <row r="51" spans="10:36" x14ac:dyDescent="0.3">
      <c r="AJ51" s="895"/>
    </row>
  </sheetData>
  <sheetProtection algorithmName="SHA-512" hashValue="2yvkr9cc7AK0bxDbt8K8sL6mTTUd4VSh/sQBYD5cQXvS8VJOWgPJF2ZKTlb/EWC3mwuScCgISgAu8g3UsDY0Nw==" saltValue="ihld2aLssV3C/1WOUE6M0g==" spinCount="100000" sheet="1" objects="1" scenarios="1" selectLockedCells="1"/>
  <protectedRanges>
    <protectedRange sqref="I15:K15" name="Folha8"/>
    <protectedRange sqref="C13:D14" name="Folha8_1"/>
    <protectedRange sqref="B9" name="Folha5_3"/>
    <protectedRange sqref="H9" name="Folha5"/>
  </protectedRanges>
  <mergeCells count="39">
    <mergeCell ref="E13:G13"/>
    <mergeCell ref="E2:G2"/>
    <mergeCell ref="E3:G3"/>
    <mergeCell ref="E6:G6"/>
    <mergeCell ref="E9:G9"/>
    <mergeCell ref="E12:G12"/>
    <mergeCell ref="B26:C26"/>
    <mergeCell ref="B31:B33"/>
    <mergeCell ref="C31:G31"/>
    <mergeCell ref="C32:G32"/>
    <mergeCell ref="C33:G33"/>
    <mergeCell ref="E14:G14"/>
    <mergeCell ref="E15:G15"/>
    <mergeCell ref="B19:C19"/>
    <mergeCell ref="B20:C20"/>
    <mergeCell ref="F21:G21"/>
    <mergeCell ref="F16:G16"/>
    <mergeCell ref="F17:G17"/>
    <mergeCell ref="C39:G39"/>
    <mergeCell ref="C40:G40"/>
    <mergeCell ref="C41:G41"/>
    <mergeCell ref="B46:B48"/>
    <mergeCell ref="C46:G46"/>
    <mergeCell ref="J2:K2"/>
    <mergeCell ref="C48:G48"/>
    <mergeCell ref="B30:G30"/>
    <mergeCell ref="B34:G34"/>
    <mergeCell ref="B38:G38"/>
    <mergeCell ref="B42:G42"/>
    <mergeCell ref="B45:G45"/>
    <mergeCell ref="C47:G47"/>
    <mergeCell ref="B43:B44"/>
    <mergeCell ref="C43:G43"/>
    <mergeCell ref="C44:G44"/>
    <mergeCell ref="B35:B37"/>
    <mergeCell ref="C35:G35"/>
    <mergeCell ref="C36:G36"/>
    <mergeCell ref="C37:G37"/>
    <mergeCell ref="B39:B41"/>
  </mergeCells>
  <conditionalFormatting sqref="L10">
    <cfRule type="cellIs" dxfId="7" priority="3" operator="greaterThan">
      <formula>0</formula>
    </cfRule>
    <cfRule type="cellIs" dxfId="6" priority="4" operator="lessThan">
      <formula>0</formula>
    </cfRule>
  </conditionalFormatting>
  <conditionalFormatting sqref="F22">
    <cfRule type="containsText" dxfId="5" priority="1" operator="containsText" text="Projeto Não Elegível!">
      <formula>NOT(ISERROR(SEARCH("Projeto Não Elegível!",F22)))</formula>
    </cfRule>
    <cfRule type="containsText" dxfId="4" priority="2" operator="containsText" text="Projeto Elegível">
      <formula>NOT(ISERROR(SEARCH("Projeto Elegível",F22)))</formula>
    </cfRule>
  </conditionalFormatting>
  <dataValidations count="1">
    <dataValidation type="list" allowBlank="1" showInputMessage="1" showErrorMessage="1" sqref="E14:G14">
      <formula1>"Sim, Não"</formula1>
    </dataValidation>
  </dataValidations>
  <pageMargins left="0.25" right="0.25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B1:W112"/>
  <sheetViews>
    <sheetView showGridLines="0" zoomScaleNormal="100" workbookViewId="0">
      <selection activeCell="D106" sqref="D106"/>
    </sheetView>
  </sheetViews>
  <sheetFormatPr defaultColWidth="9.109375" defaultRowHeight="14.4" x14ac:dyDescent="0.3"/>
  <cols>
    <col min="1" max="1" width="9.109375" style="3"/>
    <col min="2" max="2" width="8.6640625" style="1" bestFit="1" customWidth="1"/>
    <col min="3" max="3" width="49.6640625" style="2" customWidth="1"/>
    <col min="4" max="4" width="37.6640625" style="3" bestFit="1" customWidth="1"/>
    <col min="5" max="8" width="20.5546875" style="3" customWidth="1"/>
    <col min="9" max="9" width="33.109375" style="3" customWidth="1"/>
    <col min="10" max="10" width="30.44140625" style="3" customWidth="1"/>
    <col min="11" max="11" width="29.44140625" style="3" customWidth="1"/>
    <col min="12" max="12" width="9.5546875" style="3" customWidth="1"/>
    <col min="13" max="13" width="15.5546875" style="3" customWidth="1"/>
    <col min="14" max="14" width="16.109375" style="3" customWidth="1"/>
    <col min="15" max="15" width="18.5546875" style="3" customWidth="1"/>
    <col min="16" max="16" width="18" style="3" customWidth="1"/>
    <col min="17" max="17" width="11.88671875" style="3" customWidth="1"/>
    <col min="18" max="18" width="18.5546875" style="3" customWidth="1"/>
    <col min="19" max="19" width="18.33203125" style="3" customWidth="1"/>
    <col min="20" max="20" width="11.109375" style="3" customWidth="1"/>
    <col min="21" max="22" width="8.6640625" style="4"/>
    <col min="23" max="23" width="12.88671875" style="3" bestFit="1" customWidth="1"/>
    <col min="24" max="16384" width="9.109375" style="3"/>
  </cols>
  <sheetData>
    <row r="1" spans="2:23" ht="15.75" thickBot="1" x14ac:dyDescent="0.3"/>
    <row r="2" spans="2:23" ht="15" x14ac:dyDescent="0.25">
      <c r="B2" s="5"/>
      <c r="C2" s="6"/>
      <c r="D2" s="7"/>
      <c r="E2" s="7"/>
      <c r="F2" s="7"/>
      <c r="G2" s="7"/>
      <c r="H2" s="7"/>
      <c r="I2" s="8"/>
    </row>
    <row r="3" spans="2:23" ht="18" customHeight="1" x14ac:dyDescent="0.25">
      <c r="B3" s="15"/>
      <c r="C3" s="502" t="s">
        <v>390</v>
      </c>
      <c r="D3" s="11"/>
      <c r="E3" s="11"/>
      <c r="F3" s="11"/>
      <c r="G3" s="11"/>
      <c r="H3" s="11"/>
      <c r="I3" s="12"/>
    </row>
    <row r="4" spans="2:23" x14ac:dyDescent="0.3">
      <c r="B4" s="15"/>
      <c r="C4" s="503" t="s">
        <v>421</v>
      </c>
      <c r="D4" s="962"/>
      <c r="E4" s="963"/>
      <c r="F4" s="11"/>
      <c r="G4" s="11"/>
      <c r="H4" s="11"/>
      <c r="I4" s="12"/>
    </row>
    <row r="5" spans="2:23" s="504" customFormat="1" x14ac:dyDescent="0.3">
      <c r="B5" s="505"/>
      <c r="C5" s="503" t="s">
        <v>358</v>
      </c>
      <c r="D5" s="960"/>
      <c r="E5" s="961"/>
      <c r="F5" s="964" t="s">
        <v>391</v>
      </c>
      <c r="G5" s="965"/>
      <c r="H5" s="616"/>
      <c r="I5" s="506"/>
      <c r="J5" s="507"/>
      <c r="K5" s="507"/>
      <c r="L5" s="507"/>
      <c r="M5" s="507"/>
      <c r="N5" s="507"/>
      <c r="O5" s="507"/>
      <c r="P5" s="508"/>
    </row>
    <row r="6" spans="2:23" s="504" customFormat="1" ht="15" x14ac:dyDescent="0.25">
      <c r="B6" s="505"/>
      <c r="C6" s="503" t="s">
        <v>420</v>
      </c>
      <c r="D6" s="960"/>
      <c r="E6" s="961"/>
      <c r="F6" s="547"/>
      <c r="G6" s="547"/>
      <c r="H6" s="577"/>
      <c r="I6" s="506"/>
      <c r="J6" s="507"/>
      <c r="K6" s="507"/>
      <c r="L6" s="507"/>
      <c r="M6" s="507"/>
      <c r="N6" s="507"/>
      <c r="O6" s="507"/>
      <c r="P6" s="508"/>
    </row>
    <row r="7" spans="2:23" s="504" customFormat="1" ht="24.75" customHeight="1" x14ac:dyDescent="0.25">
      <c r="B7" s="505"/>
      <c r="C7" s="509"/>
      <c r="D7" s="510"/>
      <c r="E7" s="511"/>
      <c r="F7" s="512"/>
      <c r="G7" s="512"/>
      <c r="H7" s="513"/>
      <c r="I7" s="514"/>
      <c r="J7" s="515"/>
      <c r="K7" s="515"/>
      <c r="L7" s="515"/>
      <c r="M7" s="515"/>
      <c r="N7" s="515"/>
      <c r="O7" s="513"/>
      <c r="P7" s="516"/>
    </row>
    <row r="8" spans="2:23" s="504" customFormat="1" ht="30.75" customHeight="1" x14ac:dyDescent="0.25">
      <c r="B8" s="505"/>
      <c r="C8" s="517" t="s">
        <v>349</v>
      </c>
      <c r="D8" s="966" t="s">
        <v>478</v>
      </c>
      <c r="E8" s="966"/>
      <c r="F8" s="966"/>
      <c r="G8" s="966"/>
      <c r="H8" s="966"/>
      <c r="I8" s="967"/>
      <c r="J8" s="518"/>
      <c r="K8" s="518"/>
      <c r="L8" s="519"/>
      <c r="M8" s="520"/>
      <c r="N8" s="520"/>
      <c r="O8" s="521"/>
      <c r="P8" s="522"/>
      <c r="Q8" s="504" t="s">
        <v>351</v>
      </c>
    </row>
    <row r="9" spans="2:23" s="504" customFormat="1" x14ac:dyDescent="0.3">
      <c r="B9" s="505"/>
      <c r="C9" s="517"/>
      <c r="D9" s="523"/>
      <c r="E9" s="511"/>
      <c r="F9" s="524"/>
      <c r="G9" s="524"/>
      <c r="H9" s="524"/>
      <c r="I9" s="525"/>
      <c r="J9" s="526"/>
      <c r="K9" s="526"/>
      <c r="L9" s="526"/>
      <c r="M9" s="526"/>
      <c r="N9" s="526"/>
      <c r="O9" s="526"/>
      <c r="P9" s="527"/>
      <c r="Q9" s="504" t="s">
        <v>353</v>
      </c>
      <c r="R9" s="527"/>
      <c r="S9" s="527"/>
      <c r="T9" s="527"/>
      <c r="U9" s="527"/>
      <c r="V9" s="527"/>
      <c r="W9" s="527"/>
    </row>
    <row r="10" spans="2:23" s="504" customFormat="1" x14ac:dyDescent="0.3">
      <c r="B10" s="505"/>
      <c r="C10" s="528" t="s">
        <v>354</v>
      </c>
      <c r="D10" s="529" t="s">
        <v>443</v>
      </c>
      <c r="E10" s="511"/>
      <c r="F10" s="512"/>
      <c r="G10" s="512"/>
      <c r="H10" s="530"/>
      <c r="I10" s="531"/>
      <c r="J10" s="518"/>
      <c r="K10" s="518"/>
      <c r="L10" s="519"/>
      <c r="M10" s="532"/>
      <c r="N10" s="532"/>
      <c r="O10" s="512"/>
      <c r="P10" s="408"/>
    </row>
    <row r="11" spans="2:23" s="504" customFormat="1" ht="4.5" customHeight="1" x14ac:dyDescent="0.25">
      <c r="B11" s="505"/>
      <c r="C11" s="533"/>
      <c r="D11" s="534"/>
      <c r="E11" s="534"/>
      <c r="F11" s="535"/>
      <c r="G11" s="535"/>
      <c r="H11" s="535"/>
      <c r="I11" s="536"/>
      <c r="J11" s="535"/>
      <c r="K11" s="535"/>
      <c r="L11" s="535"/>
    </row>
    <row r="12" spans="2:23" s="504" customFormat="1" ht="17.25" customHeight="1" x14ac:dyDescent="0.25">
      <c r="B12" s="505"/>
      <c r="C12" s="528" t="s">
        <v>355</v>
      </c>
      <c r="D12" s="617"/>
      <c r="E12" s="529"/>
      <c r="F12" s="537"/>
      <c r="G12" s="537"/>
      <c r="I12" s="538"/>
      <c r="J12" s="959"/>
      <c r="K12" s="959"/>
      <c r="N12" s="539"/>
      <c r="O12" s="539"/>
    </row>
    <row r="13" spans="2:23" s="504" customFormat="1" ht="15.75" thickBot="1" x14ac:dyDescent="0.3">
      <c r="B13" s="540"/>
      <c r="C13" s="541"/>
      <c r="D13" s="542"/>
      <c r="E13" s="542"/>
      <c r="F13" s="543"/>
      <c r="G13" s="543"/>
      <c r="H13" s="544"/>
      <c r="I13" s="545"/>
      <c r="J13" s="546"/>
      <c r="K13" s="546"/>
      <c r="N13" s="539"/>
      <c r="O13" s="539"/>
    </row>
    <row r="14" spans="2:23" ht="15.75" thickBot="1" x14ac:dyDescent="0.3">
      <c r="B14" s="503"/>
      <c r="C14" s="607"/>
      <c r="D14" s="608"/>
      <c r="E14" s="608"/>
      <c r="F14" s="537"/>
      <c r="G14" s="537"/>
      <c r="H14" s="504"/>
      <c r="I14" s="609"/>
    </row>
    <row r="15" spans="2:23" ht="18" customHeight="1" x14ac:dyDescent="0.3">
      <c r="B15" s="931" t="s">
        <v>485</v>
      </c>
      <c r="C15" s="932"/>
      <c r="D15" s="932"/>
      <c r="E15" s="932"/>
      <c r="F15" s="932"/>
      <c r="G15" s="932"/>
      <c r="H15" s="932"/>
      <c r="I15" s="933"/>
    </row>
    <row r="16" spans="2:23" ht="18.75" customHeight="1" thickBot="1" x14ac:dyDescent="0.35">
      <c r="B16" s="934"/>
      <c r="C16" s="935"/>
      <c r="D16" s="935"/>
      <c r="E16" s="935"/>
      <c r="F16" s="935"/>
      <c r="G16" s="935"/>
      <c r="H16" s="935"/>
      <c r="I16" s="936"/>
    </row>
    <row r="17" spans="2:22" ht="15.75" thickBot="1" x14ac:dyDescent="0.3">
      <c r="K17" s="13"/>
      <c r="L17" s="13"/>
      <c r="U17" s="3"/>
      <c r="V17" s="3"/>
    </row>
    <row r="18" spans="2:22" ht="15" x14ac:dyDescent="0.25">
      <c r="B18" s="5"/>
      <c r="C18" s="6"/>
      <c r="D18" s="7"/>
      <c r="E18" s="7"/>
      <c r="F18" s="7"/>
      <c r="G18" s="7"/>
      <c r="H18" s="7"/>
      <c r="I18" s="8"/>
      <c r="K18" s="13"/>
      <c r="L18" s="13"/>
    </row>
    <row r="19" spans="2:22" ht="21" x14ac:dyDescent="0.3">
      <c r="B19" s="9"/>
      <c r="C19" s="937" t="s">
        <v>479</v>
      </c>
      <c r="D19" s="937"/>
      <c r="E19" s="937"/>
      <c r="F19" s="937"/>
      <c r="G19" s="937"/>
      <c r="H19" s="937"/>
      <c r="I19" s="12"/>
      <c r="K19" s="13"/>
      <c r="L19" s="13"/>
      <c r="U19" s="3"/>
      <c r="V19" s="3"/>
    </row>
    <row r="20" spans="2:22" ht="15" x14ac:dyDescent="0.25">
      <c r="B20" s="9"/>
      <c r="C20" s="14"/>
      <c r="D20" s="11"/>
      <c r="E20" s="11"/>
      <c r="F20" s="11"/>
      <c r="G20" s="11"/>
      <c r="H20" s="11"/>
      <c r="I20" s="12"/>
      <c r="K20" s="13"/>
      <c r="L20" s="13"/>
      <c r="U20" s="3"/>
      <c r="V20" s="3"/>
    </row>
    <row r="21" spans="2:22" x14ac:dyDescent="0.3">
      <c r="B21" s="15"/>
      <c r="C21" s="939" t="s">
        <v>392</v>
      </c>
      <c r="D21" s="939"/>
      <c r="E21" s="939"/>
      <c r="F21" s="939"/>
      <c r="G21" s="939"/>
      <c r="H21" s="939"/>
      <c r="I21" s="12"/>
      <c r="K21" s="13"/>
      <c r="L21" s="13"/>
      <c r="U21" s="3"/>
      <c r="V21" s="3"/>
    </row>
    <row r="22" spans="2:22" x14ac:dyDescent="0.3">
      <c r="B22" s="15"/>
      <c r="C22" s="435" t="s">
        <v>87</v>
      </c>
      <c r="D22" s="940"/>
      <c r="E22" s="941"/>
      <c r="F22" s="941"/>
      <c r="G22" s="941"/>
      <c r="H22" s="942"/>
      <c r="I22" s="12"/>
      <c r="K22" s="13"/>
      <c r="L22" s="13"/>
      <c r="U22" s="3"/>
      <c r="V22" s="3"/>
    </row>
    <row r="23" spans="2:22" x14ac:dyDescent="0.3">
      <c r="B23" s="15"/>
      <c r="C23" s="435" t="s">
        <v>88</v>
      </c>
      <c r="D23" s="940"/>
      <c r="E23" s="941"/>
      <c r="F23" s="941"/>
      <c r="G23" s="941"/>
      <c r="H23" s="942"/>
      <c r="I23" s="12"/>
      <c r="K23" s="13"/>
      <c r="L23" s="13"/>
      <c r="U23" s="3"/>
      <c r="V23" s="3"/>
    </row>
    <row r="24" spans="2:22" x14ac:dyDescent="0.3">
      <c r="B24" s="15"/>
      <c r="C24" s="435" t="s">
        <v>89</v>
      </c>
      <c r="D24" s="618"/>
      <c r="E24" s="11"/>
      <c r="F24" s="11"/>
      <c r="G24" s="11"/>
      <c r="H24" s="11"/>
      <c r="I24" s="12"/>
      <c r="K24" s="13"/>
      <c r="L24" s="13"/>
    </row>
    <row r="25" spans="2:22" x14ac:dyDescent="0.3">
      <c r="B25" s="15"/>
      <c r="C25" s="435" t="s">
        <v>90</v>
      </c>
      <c r="D25" s="619"/>
      <c r="E25" s="11"/>
      <c r="F25" s="11"/>
      <c r="G25" s="11"/>
      <c r="H25" s="11"/>
      <c r="I25" s="12"/>
      <c r="U25" s="3"/>
      <c r="V25" s="3"/>
    </row>
    <row r="26" spans="2:22" x14ac:dyDescent="0.3">
      <c r="B26" s="9"/>
      <c r="C26" s="14"/>
      <c r="D26" s="11"/>
      <c r="E26" s="11"/>
      <c r="F26" s="11"/>
      <c r="G26" s="11"/>
      <c r="H26" s="11"/>
      <c r="I26" s="12"/>
      <c r="U26" s="3"/>
      <c r="V26" s="3"/>
    </row>
    <row r="27" spans="2:22" x14ac:dyDescent="0.3">
      <c r="B27" s="15"/>
      <c r="C27" s="939" t="s">
        <v>460</v>
      </c>
      <c r="D27" s="939"/>
      <c r="E27" s="939"/>
      <c r="F27" s="939"/>
      <c r="G27" s="939"/>
      <c r="H27" s="939"/>
      <c r="I27" s="12"/>
      <c r="U27" s="3"/>
      <c r="V27" s="3"/>
    </row>
    <row r="28" spans="2:22" x14ac:dyDescent="0.3">
      <c r="B28" s="15"/>
      <c r="C28" s="435" t="s">
        <v>30</v>
      </c>
      <c r="D28" s="940"/>
      <c r="E28" s="941"/>
      <c r="F28" s="941"/>
      <c r="G28" s="941"/>
      <c r="H28" s="942"/>
      <c r="I28" s="12"/>
      <c r="U28" s="3"/>
      <c r="V28" s="3"/>
    </row>
    <row r="29" spans="2:22" x14ac:dyDescent="0.3">
      <c r="B29" s="15"/>
      <c r="C29" s="435" t="s">
        <v>31</v>
      </c>
      <c r="D29" s="620"/>
      <c r="E29" s="11"/>
      <c r="F29" s="11"/>
      <c r="G29" s="11"/>
      <c r="H29" s="11"/>
      <c r="I29" s="12"/>
      <c r="U29" s="3"/>
      <c r="V29" s="3"/>
    </row>
    <row r="30" spans="2:22" x14ac:dyDescent="0.3">
      <c r="B30" s="15"/>
      <c r="C30" s="435" t="s">
        <v>89</v>
      </c>
      <c r="D30" s="621"/>
      <c r="E30" s="11"/>
      <c r="F30" s="11"/>
      <c r="G30" s="11"/>
      <c r="H30" s="11"/>
      <c r="I30" s="12"/>
    </row>
    <row r="31" spans="2:22" x14ac:dyDescent="0.3">
      <c r="B31" s="15"/>
      <c r="C31" s="435" t="s">
        <v>90</v>
      </c>
      <c r="D31" s="620"/>
      <c r="E31" s="11"/>
      <c r="F31" s="11"/>
      <c r="G31" s="11"/>
      <c r="H31" s="11"/>
      <c r="I31" s="12"/>
      <c r="U31" s="3"/>
      <c r="V31" s="3"/>
    </row>
    <row r="32" spans="2:22" x14ac:dyDescent="0.3">
      <c r="B32" s="9"/>
      <c r="C32" s="14"/>
      <c r="D32" s="11"/>
      <c r="E32" s="11"/>
      <c r="F32" s="11"/>
      <c r="G32" s="11"/>
      <c r="H32" s="11"/>
      <c r="I32" s="12"/>
      <c r="U32" s="3"/>
      <c r="V32" s="3"/>
    </row>
    <row r="33" spans="2:22" x14ac:dyDescent="0.3">
      <c r="B33" s="15"/>
      <c r="C33" s="939" t="s">
        <v>259</v>
      </c>
      <c r="D33" s="939"/>
      <c r="E33" s="939"/>
      <c r="F33" s="939"/>
      <c r="G33" s="939"/>
      <c r="H33" s="939"/>
      <c r="I33" s="12"/>
      <c r="U33" s="3"/>
      <c r="V33" s="3"/>
    </row>
    <row r="34" spans="2:22" x14ac:dyDescent="0.3">
      <c r="B34" s="15"/>
      <c r="C34" s="16" t="s">
        <v>260</v>
      </c>
      <c r="D34" s="940"/>
      <c r="E34" s="941"/>
      <c r="F34" s="941"/>
      <c r="G34" s="941"/>
      <c r="H34" s="942"/>
      <c r="I34" s="12"/>
      <c r="U34" s="3"/>
      <c r="V34" s="3"/>
    </row>
    <row r="35" spans="2:22" x14ac:dyDescent="0.3">
      <c r="B35" s="15"/>
      <c r="C35" s="435" t="s">
        <v>91</v>
      </c>
      <c r="D35" s="620"/>
      <c r="E35" s="11"/>
      <c r="F35" s="11"/>
      <c r="G35" s="11"/>
      <c r="H35" s="11"/>
      <c r="I35" s="12"/>
      <c r="U35" s="3"/>
      <c r="V35" s="3"/>
    </row>
    <row r="36" spans="2:22" x14ac:dyDescent="0.3">
      <c r="B36" s="15"/>
      <c r="C36" s="435" t="s">
        <v>92</v>
      </c>
      <c r="D36" s="620"/>
      <c r="E36" s="11"/>
      <c r="F36" s="11"/>
      <c r="G36" s="11"/>
      <c r="H36" s="11"/>
      <c r="I36" s="12"/>
      <c r="U36" s="3"/>
      <c r="V36" s="3"/>
    </row>
    <row r="37" spans="2:22" x14ac:dyDescent="0.3">
      <c r="B37" s="15"/>
      <c r="C37" s="500" t="s">
        <v>396</v>
      </c>
      <c r="D37" s="622"/>
      <c r="E37" s="11"/>
      <c r="F37" s="11"/>
      <c r="G37" s="11"/>
      <c r="H37" s="11"/>
      <c r="I37" s="12"/>
      <c r="U37" s="3"/>
      <c r="V37" s="3"/>
    </row>
    <row r="38" spans="2:22" x14ac:dyDescent="0.3">
      <c r="B38" s="15"/>
      <c r="C38" s="500" t="s">
        <v>397</v>
      </c>
      <c r="D38" s="622"/>
      <c r="E38" s="11"/>
      <c r="F38" s="11"/>
      <c r="G38" s="11"/>
      <c r="H38" s="11"/>
      <c r="I38" s="12"/>
      <c r="U38" s="3"/>
      <c r="V38" s="3"/>
    </row>
    <row r="39" spans="2:22" x14ac:dyDescent="0.3">
      <c r="B39" s="15"/>
      <c r="C39" s="435"/>
      <c r="D39" s="11"/>
      <c r="E39" s="11"/>
      <c r="F39" s="11"/>
      <c r="G39" s="11"/>
      <c r="H39" s="11"/>
      <c r="I39" s="12"/>
      <c r="U39" s="3"/>
      <c r="V39" s="3"/>
    </row>
    <row r="40" spans="2:22" x14ac:dyDescent="0.3">
      <c r="B40" s="15"/>
      <c r="C40" s="939" t="s">
        <v>486</v>
      </c>
      <c r="D40" s="939"/>
      <c r="E40" s="939"/>
      <c r="F40" s="939"/>
      <c r="G40" s="939"/>
      <c r="H40" s="939"/>
      <c r="I40" s="12"/>
      <c r="U40" s="3"/>
      <c r="V40" s="3"/>
    </row>
    <row r="41" spans="2:22" x14ac:dyDescent="0.3">
      <c r="B41" s="15"/>
      <c r="C41" s="435" t="s">
        <v>93</v>
      </c>
      <c r="D41" s="620"/>
      <c r="E41" s="11"/>
      <c r="F41" s="11"/>
      <c r="G41" s="11"/>
      <c r="H41" s="11"/>
      <c r="I41" s="12"/>
      <c r="U41" s="3"/>
      <c r="V41" s="3"/>
    </row>
    <row r="42" spans="2:22" x14ac:dyDescent="0.3">
      <c r="B42" s="15"/>
      <c r="C42" s="435" t="s">
        <v>94</v>
      </c>
      <c r="D42" s="623"/>
      <c r="E42" s="11"/>
      <c r="F42" s="11"/>
      <c r="G42" s="11"/>
      <c r="H42" s="11"/>
      <c r="I42" s="12"/>
      <c r="U42" s="3"/>
      <c r="V42" s="3"/>
    </row>
    <row r="43" spans="2:22" x14ac:dyDescent="0.3">
      <c r="B43" s="15"/>
      <c r="C43" s="435" t="s">
        <v>117</v>
      </c>
      <c r="D43" s="623"/>
      <c r="E43" s="11"/>
      <c r="F43" s="11"/>
      <c r="G43" s="11"/>
      <c r="H43" s="11"/>
      <c r="I43" s="12"/>
      <c r="U43" s="3"/>
      <c r="V43" s="3"/>
    </row>
    <row r="44" spans="2:22" ht="16.2" x14ac:dyDescent="0.3">
      <c r="B44" s="15"/>
      <c r="C44" s="435" t="s">
        <v>236</v>
      </c>
      <c r="D44" s="624"/>
      <c r="E44" s="11"/>
      <c r="F44" s="11"/>
      <c r="G44" s="11"/>
      <c r="H44" s="11"/>
      <c r="I44" s="12"/>
      <c r="U44" s="3"/>
      <c r="V44" s="3"/>
    </row>
    <row r="45" spans="2:22" x14ac:dyDescent="0.3">
      <c r="B45" s="15"/>
      <c r="C45" s="435"/>
      <c r="D45" s="11"/>
      <c r="E45" s="11"/>
      <c r="F45" s="11"/>
      <c r="G45" s="11"/>
      <c r="H45" s="11"/>
      <c r="I45" s="12"/>
      <c r="U45" s="3"/>
      <c r="V45" s="3"/>
    </row>
    <row r="46" spans="2:22" x14ac:dyDescent="0.3">
      <c r="B46" s="15"/>
      <c r="C46" s="939" t="s">
        <v>487</v>
      </c>
      <c r="D46" s="939"/>
      <c r="E46" s="939"/>
      <c r="F46" s="939"/>
      <c r="G46" s="939"/>
      <c r="H46" s="939"/>
      <c r="I46" s="12"/>
      <c r="U46" s="3"/>
      <c r="V46" s="3"/>
    </row>
    <row r="47" spans="2:22" x14ac:dyDescent="0.3">
      <c r="B47" s="15"/>
      <c r="C47" s="435" t="s">
        <v>95</v>
      </c>
      <c r="D47" s="625"/>
      <c r="E47" s="11"/>
      <c r="F47" s="11"/>
      <c r="G47" s="11"/>
      <c r="H47" s="11"/>
      <c r="I47" s="12"/>
      <c r="U47" s="3"/>
      <c r="V47" s="3"/>
    </row>
    <row r="48" spans="2:22" ht="15.6" x14ac:dyDescent="0.3">
      <c r="B48" s="15"/>
      <c r="C48" s="435" t="s">
        <v>202</v>
      </c>
      <c r="D48" s="626"/>
      <c r="E48" s="11"/>
      <c r="F48" s="11"/>
      <c r="G48" s="11"/>
      <c r="H48" s="11"/>
      <c r="I48" s="12"/>
      <c r="U48" s="3"/>
      <c r="V48" s="3"/>
    </row>
    <row r="49" spans="2:22" x14ac:dyDescent="0.3">
      <c r="B49" s="15"/>
      <c r="C49" s="435"/>
      <c r="D49" s="11"/>
      <c r="E49" s="950" t="s">
        <v>224</v>
      </c>
      <c r="F49" s="950"/>
      <c r="G49" s="950"/>
      <c r="H49" s="950"/>
      <c r="I49" s="12"/>
      <c r="U49" s="3"/>
      <c r="V49" s="3"/>
    </row>
    <row r="50" spans="2:22" ht="27.75" customHeight="1" x14ac:dyDescent="0.3">
      <c r="B50" s="15"/>
      <c r="C50" s="17" t="s">
        <v>9</v>
      </c>
      <c r="D50" s="629" t="s">
        <v>176</v>
      </c>
      <c r="E50" s="629" t="s">
        <v>114</v>
      </c>
      <c r="F50" s="629" t="s">
        <v>318</v>
      </c>
      <c r="G50" s="629" t="s">
        <v>318</v>
      </c>
      <c r="H50" s="629" t="s">
        <v>318</v>
      </c>
      <c r="I50" s="12"/>
      <c r="U50" s="3"/>
      <c r="V50" s="3"/>
    </row>
    <row r="51" spans="2:22" ht="16.5" customHeight="1" x14ac:dyDescent="0.3">
      <c r="B51" s="15"/>
      <c r="C51" s="605" t="s">
        <v>475</v>
      </c>
      <c r="D51" s="627"/>
      <c r="E51" s="627"/>
      <c r="F51" s="628"/>
      <c r="G51" s="627"/>
      <c r="H51" s="627"/>
      <c r="I51" s="12"/>
      <c r="U51" s="3"/>
      <c r="V51" s="3"/>
    </row>
    <row r="52" spans="2:22" ht="16.5" customHeight="1" x14ac:dyDescent="0.3">
      <c r="B52" s="15"/>
      <c r="C52" s="437" t="s">
        <v>476</v>
      </c>
      <c r="D52" s="944">
        <f>+SUM(D51:H51)</f>
        <v>0</v>
      </c>
      <c r="E52" s="945"/>
      <c r="F52" s="945"/>
      <c r="G52" s="945"/>
      <c r="H52" s="946"/>
      <c r="I52" s="12"/>
      <c r="U52" s="3"/>
      <c r="V52" s="3"/>
    </row>
    <row r="53" spans="2:22" ht="15.6" x14ac:dyDescent="0.3">
      <c r="B53" s="15"/>
      <c r="C53" s="437" t="s">
        <v>477</v>
      </c>
      <c r="D53" s="944">
        <f>IF(D52="",0,(VLOOKUP(D50,'16. Fatores de conversão'!A6:J14,3,FALSE)*D51)+(VLOOKUP(E50,'16. Fatores de conversão'!A6:J14,3,FALSE)*E51)+(VLOOKUP(F50,'16. Fatores de conversão'!A6:J14,3,FALSE)*F51)+(VLOOKUP(G50,'16. Fatores de conversão'!A6:J14,3,FALSE)*G51)+(VLOOKUP(H50,'16. Fatores de conversão'!A6:J14,3,FALSE)*H51))</f>
        <v>0</v>
      </c>
      <c r="E53" s="945"/>
      <c r="F53" s="945"/>
      <c r="G53" s="945"/>
      <c r="H53" s="946"/>
      <c r="I53" s="12"/>
      <c r="U53" s="3"/>
      <c r="V53" s="3"/>
    </row>
    <row r="54" spans="2:22" x14ac:dyDescent="0.3">
      <c r="B54" s="15"/>
      <c r="C54" s="437" t="s">
        <v>378</v>
      </c>
      <c r="D54" s="953">
        <f>D53*0.000086</f>
        <v>0</v>
      </c>
      <c r="E54" s="954"/>
      <c r="F54" s="954"/>
      <c r="G54" s="954"/>
      <c r="H54" s="955"/>
      <c r="I54" s="12"/>
      <c r="U54" s="3"/>
      <c r="V54" s="3"/>
    </row>
    <row r="55" spans="2:22" x14ac:dyDescent="0.3">
      <c r="B55" s="15"/>
      <c r="C55" s="17" t="s">
        <v>9</v>
      </c>
      <c r="D55" s="595" t="str">
        <f>+D50</f>
        <v>Energia Elétrica</v>
      </c>
      <c r="E55" s="595" t="str">
        <f>IF(E50="","",E50)</f>
        <v>Gás Natural</v>
      </c>
      <c r="F55" s="595" t="str">
        <f t="shared" ref="F55:H55" si="0">IF(F50="","",F50)</f>
        <v/>
      </c>
      <c r="G55" s="595" t="str">
        <f t="shared" si="0"/>
        <v/>
      </c>
      <c r="H55" s="595" t="str">
        <f t="shared" si="0"/>
        <v/>
      </c>
      <c r="I55" s="952"/>
      <c r="U55" s="3"/>
      <c r="V55" s="3"/>
    </row>
    <row r="56" spans="2:22" x14ac:dyDescent="0.3">
      <c r="B56" s="15"/>
      <c r="C56" s="16" t="s">
        <v>203</v>
      </c>
      <c r="D56" s="630"/>
      <c r="E56" s="630"/>
      <c r="F56" s="630"/>
      <c r="G56" s="630"/>
      <c r="H56" s="630"/>
      <c r="I56" s="952"/>
      <c r="U56" s="3"/>
      <c r="V56" s="3"/>
    </row>
    <row r="57" spans="2:22" x14ac:dyDescent="0.3">
      <c r="B57" s="15"/>
      <c r="C57" s="19" t="s">
        <v>204</v>
      </c>
      <c r="D57" s="815">
        <f>D51*D56</f>
        <v>0</v>
      </c>
      <c r="E57" s="815">
        <f>E51*E56</f>
        <v>0</v>
      </c>
      <c r="F57" s="815">
        <f>F51*F56</f>
        <v>0</v>
      </c>
      <c r="G57" s="815">
        <f>G51*G56</f>
        <v>0</v>
      </c>
      <c r="H57" s="815">
        <f>H51*H56</f>
        <v>0</v>
      </c>
      <c r="I57" s="952"/>
    </row>
    <row r="58" spans="2:22" x14ac:dyDescent="0.3">
      <c r="B58" s="15"/>
      <c r="C58" s="18" t="s">
        <v>85</v>
      </c>
      <c r="D58" s="956">
        <f>+SUM(D57:H57)</f>
        <v>0</v>
      </c>
      <c r="E58" s="957"/>
      <c r="F58" s="957"/>
      <c r="G58" s="957"/>
      <c r="H58" s="958"/>
      <c r="I58" s="952"/>
      <c r="U58" s="3"/>
      <c r="V58" s="3"/>
    </row>
    <row r="59" spans="2:22" ht="44.25" customHeight="1" x14ac:dyDescent="0.3">
      <c r="B59" s="9"/>
      <c r="C59" s="14"/>
      <c r="D59" s="11"/>
      <c r="E59" s="11"/>
      <c r="F59" s="11"/>
      <c r="G59" s="11"/>
      <c r="H59" s="11"/>
      <c r="I59" s="12"/>
      <c r="U59" s="3"/>
      <c r="V59" s="3"/>
    </row>
    <row r="60" spans="2:22" ht="41.25" customHeight="1" x14ac:dyDescent="0.3">
      <c r="B60" s="15"/>
      <c r="C60" s="949" t="s">
        <v>481</v>
      </c>
      <c r="D60" s="949"/>
      <c r="E60" s="949"/>
      <c r="F60" s="949"/>
      <c r="G60" s="949"/>
      <c r="H60" s="949"/>
      <c r="I60" s="12"/>
      <c r="U60" s="3"/>
      <c r="V60" s="3"/>
    </row>
    <row r="61" spans="2:22" ht="72" x14ac:dyDescent="0.3">
      <c r="B61" s="15"/>
      <c r="C61" s="99" t="s">
        <v>10</v>
      </c>
      <c r="D61" s="951" t="s">
        <v>488</v>
      </c>
      <c r="E61" s="951"/>
      <c r="F61" s="951"/>
      <c r="G61" s="60" t="s">
        <v>482</v>
      </c>
      <c r="H61" s="60" t="s">
        <v>426</v>
      </c>
      <c r="I61" s="12"/>
      <c r="U61" s="3"/>
      <c r="V61" s="3"/>
    </row>
    <row r="62" spans="2:22" x14ac:dyDescent="0.3">
      <c r="B62" s="15"/>
      <c r="C62" s="21">
        <v>1</v>
      </c>
      <c r="D62" s="940"/>
      <c r="E62" s="941"/>
      <c r="F62" s="942"/>
      <c r="G62" s="622"/>
      <c r="H62" s="631"/>
      <c r="I62" s="320"/>
      <c r="U62" s="3"/>
      <c r="V62" s="3"/>
    </row>
    <row r="63" spans="2:22" x14ac:dyDescent="0.3">
      <c r="B63" s="15"/>
      <c r="C63" s="21">
        <v>2</v>
      </c>
      <c r="D63" s="940"/>
      <c r="E63" s="941"/>
      <c r="F63" s="942"/>
      <c r="G63" s="622"/>
      <c r="H63" s="631"/>
      <c r="I63" s="320"/>
      <c r="U63" s="3"/>
      <c r="V63" s="3"/>
    </row>
    <row r="64" spans="2:22" x14ac:dyDescent="0.3">
      <c r="B64" s="15"/>
      <c r="C64" s="21">
        <v>3</v>
      </c>
      <c r="D64" s="940"/>
      <c r="E64" s="941"/>
      <c r="F64" s="942"/>
      <c r="G64" s="622"/>
      <c r="H64" s="631"/>
      <c r="I64" s="320"/>
      <c r="U64" s="3"/>
      <c r="V64" s="3"/>
    </row>
    <row r="65" spans="2:22" x14ac:dyDescent="0.3">
      <c r="B65" s="15"/>
      <c r="C65" s="21">
        <v>4</v>
      </c>
      <c r="D65" s="940"/>
      <c r="E65" s="941"/>
      <c r="F65" s="942"/>
      <c r="G65" s="622"/>
      <c r="H65" s="631"/>
      <c r="I65" s="320"/>
      <c r="U65" s="3"/>
      <c r="V65" s="3"/>
    </row>
    <row r="66" spans="2:22" x14ac:dyDescent="0.3">
      <c r="B66" s="15"/>
      <c r="C66" s="21">
        <v>5</v>
      </c>
      <c r="D66" s="940"/>
      <c r="E66" s="941"/>
      <c r="F66" s="942"/>
      <c r="G66" s="622"/>
      <c r="H66" s="631"/>
      <c r="I66" s="320"/>
      <c r="U66" s="3"/>
      <c r="V66" s="3"/>
    </row>
    <row r="67" spans="2:22" x14ac:dyDescent="0.3">
      <c r="B67" s="15"/>
      <c r="C67" s="21">
        <v>6</v>
      </c>
      <c r="D67" s="940"/>
      <c r="E67" s="941"/>
      <c r="F67" s="942"/>
      <c r="G67" s="622"/>
      <c r="H67" s="631"/>
      <c r="I67" s="320"/>
      <c r="U67" s="3"/>
      <c r="V67" s="3"/>
    </row>
    <row r="68" spans="2:22" x14ac:dyDescent="0.3">
      <c r="B68" s="15"/>
      <c r="C68" s="21">
        <v>7</v>
      </c>
      <c r="D68" s="943"/>
      <c r="E68" s="943"/>
      <c r="F68" s="943"/>
      <c r="G68" s="622"/>
      <c r="H68" s="631"/>
      <c r="I68" s="320"/>
      <c r="U68" s="3"/>
      <c r="V68" s="3"/>
    </row>
    <row r="69" spans="2:22" x14ac:dyDescent="0.3">
      <c r="B69" s="15"/>
      <c r="C69" s="21">
        <v>8</v>
      </c>
      <c r="D69" s="943"/>
      <c r="E69" s="943"/>
      <c r="F69" s="943"/>
      <c r="G69" s="622"/>
      <c r="H69" s="631"/>
      <c r="I69" s="320"/>
      <c r="U69" s="3"/>
      <c r="V69" s="3"/>
    </row>
    <row r="70" spans="2:22" x14ac:dyDescent="0.3">
      <c r="B70" s="15"/>
      <c r="C70" s="21">
        <v>9</v>
      </c>
      <c r="D70" s="943"/>
      <c r="E70" s="943"/>
      <c r="F70" s="943"/>
      <c r="G70" s="622"/>
      <c r="H70" s="631"/>
      <c r="I70" s="320"/>
      <c r="U70" s="3"/>
      <c r="V70" s="3"/>
    </row>
    <row r="71" spans="2:22" x14ac:dyDescent="0.3">
      <c r="B71" s="15"/>
      <c r="C71" s="21">
        <v>10</v>
      </c>
      <c r="D71" s="943"/>
      <c r="E71" s="943"/>
      <c r="F71" s="943"/>
      <c r="G71" s="622"/>
      <c r="H71" s="631"/>
      <c r="I71" s="320"/>
      <c r="U71" s="3"/>
      <c r="V71" s="3"/>
    </row>
    <row r="72" spans="2:22" x14ac:dyDescent="0.3">
      <c r="B72" s="15"/>
      <c r="C72" s="21">
        <v>11</v>
      </c>
      <c r="D72" s="943"/>
      <c r="E72" s="943"/>
      <c r="F72" s="943"/>
      <c r="G72" s="622"/>
      <c r="H72" s="631"/>
      <c r="I72" s="320"/>
      <c r="U72" s="3"/>
      <c r="V72" s="3"/>
    </row>
    <row r="73" spans="2:22" x14ac:dyDescent="0.3">
      <c r="B73" s="15"/>
      <c r="C73" s="21">
        <v>12</v>
      </c>
      <c r="D73" s="943"/>
      <c r="E73" s="943"/>
      <c r="F73" s="943"/>
      <c r="G73" s="622"/>
      <c r="H73" s="631"/>
      <c r="I73" s="320"/>
      <c r="U73" s="3"/>
      <c r="V73" s="3"/>
    </row>
    <row r="74" spans="2:22" x14ac:dyDescent="0.3">
      <c r="B74" s="15"/>
      <c r="C74" s="21">
        <v>13</v>
      </c>
      <c r="D74" s="943"/>
      <c r="E74" s="943"/>
      <c r="F74" s="943"/>
      <c r="G74" s="622"/>
      <c r="H74" s="631"/>
      <c r="I74" s="320"/>
      <c r="U74" s="3"/>
      <c r="V74" s="3"/>
    </row>
    <row r="75" spans="2:22" x14ac:dyDescent="0.3">
      <c r="B75" s="15"/>
      <c r="C75" s="21">
        <v>14</v>
      </c>
      <c r="D75" s="943"/>
      <c r="E75" s="943"/>
      <c r="F75" s="943"/>
      <c r="G75" s="622"/>
      <c r="H75" s="631"/>
      <c r="I75" s="320"/>
      <c r="U75" s="3"/>
      <c r="V75" s="3"/>
    </row>
    <row r="76" spans="2:22" x14ac:dyDescent="0.3">
      <c r="B76" s="15"/>
      <c r="C76" s="21">
        <v>15</v>
      </c>
      <c r="D76" s="943"/>
      <c r="E76" s="943"/>
      <c r="F76" s="943"/>
      <c r="G76" s="622"/>
      <c r="H76" s="631"/>
      <c r="I76" s="320"/>
      <c r="U76" s="3"/>
      <c r="V76" s="3"/>
    </row>
    <row r="77" spans="2:22" ht="15" customHeight="1" x14ac:dyDescent="0.3">
      <c r="B77" s="9"/>
      <c r="C77" s="14"/>
      <c r="D77" s="14"/>
      <c r="E77" s="14"/>
      <c r="F77" s="14"/>
      <c r="G77" s="22"/>
      <c r="H77" s="60"/>
      <c r="I77" s="23"/>
      <c r="U77" s="3"/>
      <c r="V77" s="3"/>
    </row>
    <row r="78" spans="2:22" ht="41.25" customHeight="1" x14ac:dyDescent="0.3">
      <c r="B78" s="15"/>
      <c r="C78" s="435" t="s">
        <v>152</v>
      </c>
      <c r="D78" s="625"/>
      <c r="E78" s="11"/>
      <c r="F78" s="11"/>
      <c r="G78" s="947" t="s">
        <v>32</v>
      </c>
      <c r="H78" s="947"/>
      <c r="I78" s="948"/>
      <c r="U78" s="3"/>
      <c r="V78" s="3"/>
    </row>
    <row r="79" spans="2:22" x14ac:dyDescent="0.3">
      <c r="B79" s="15"/>
      <c r="C79" s="435"/>
      <c r="D79" s="24"/>
      <c r="E79" s="11"/>
      <c r="F79" s="11"/>
      <c r="G79" s="25"/>
      <c r="H79" s="25"/>
      <c r="I79" s="26"/>
      <c r="U79" s="3"/>
      <c r="V79" s="3"/>
    </row>
    <row r="80" spans="2:22" ht="28.8" x14ac:dyDescent="0.3">
      <c r="B80" s="15"/>
      <c r="C80" s="435" t="s">
        <v>86</v>
      </c>
      <c r="D80" s="622"/>
      <c r="E80" s="11"/>
      <c r="F80" s="11"/>
      <c r="G80" s="947" t="s">
        <v>407</v>
      </c>
      <c r="H80" s="947"/>
      <c r="I80" s="948"/>
      <c r="U80" s="3"/>
      <c r="V80" s="3"/>
    </row>
    <row r="81" spans="2:22" ht="15" thickBot="1" x14ac:dyDescent="0.35">
      <c r="B81" s="27"/>
      <c r="C81" s="28"/>
      <c r="D81" s="29"/>
      <c r="E81" s="29"/>
      <c r="F81" s="29"/>
      <c r="G81" s="29"/>
      <c r="H81" s="29"/>
      <c r="I81" s="30"/>
      <c r="U81" s="3"/>
      <c r="V81" s="3"/>
    </row>
    <row r="82" spans="2:22" x14ac:dyDescent="0.3">
      <c r="B82" s="21"/>
      <c r="C82" s="14"/>
      <c r="D82" s="11"/>
      <c r="E82" s="11"/>
      <c r="F82" s="11"/>
      <c r="G82" s="11"/>
      <c r="H82" s="11"/>
      <c r="I82" s="11"/>
      <c r="U82" s="3"/>
      <c r="V82" s="3"/>
    </row>
    <row r="83" spans="2:22" ht="21" customHeight="1" thickBot="1" x14ac:dyDescent="0.35">
      <c r="U83" s="3"/>
      <c r="V83" s="3"/>
    </row>
    <row r="84" spans="2:22" x14ac:dyDescent="0.3">
      <c r="B84" s="5"/>
      <c r="C84" s="6"/>
      <c r="D84" s="7"/>
      <c r="E84" s="7"/>
      <c r="F84" s="7"/>
      <c r="G84" s="7"/>
      <c r="H84" s="7"/>
      <c r="I84" s="8"/>
      <c r="U84" s="3"/>
      <c r="V84" s="3"/>
    </row>
    <row r="85" spans="2:22" ht="21" customHeight="1" x14ac:dyDescent="0.3">
      <c r="B85" s="594"/>
      <c r="C85" s="937" t="s">
        <v>480</v>
      </c>
      <c r="D85" s="937"/>
      <c r="E85" s="937"/>
      <c r="F85" s="937"/>
      <c r="G85" s="937"/>
      <c r="H85" s="937"/>
      <c r="I85" s="938"/>
      <c r="U85" s="3"/>
      <c r="V85" s="3"/>
    </row>
    <row r="86" spans="2:22" x14ac:dyDescent="0.3">
      <c r="B86" s="9"/>
      <c r="C86" s="14"/>
      <c r="D86" s="11"/>
      <c r="E86" s="11"/>
      <c r="F86" s="11"/>
      <c r="G86" s="11"/>
      <c r="H86" s="11"/>
      <c r="I86" s="12"/>
      <c r="U86" s="3"/>
      <c r="V86" s="3"/>
    </row>
    <row r="87" spans="2:22" x14ac:dyDescent="0.3">
      <c r="B87" s="9"/>
      <c r="C87" s="939" t="s">
        <v>392</v>
      </c>
      <c r="D87" s="939"/>
      <c r="E87" s="939"/>
      <c r="F87" s="939"/>
      <c r="G87" s="939"/>
      <c r="H87" s="939"/>
      <c r="I87" s="12"/>
    </row>
    <row r="88" spans="2:22" x14ac:dyDescent="0.3">
      <c r="B88" s="9"/>
      <c r="C88" s="593" t="s">
        <v>87</v>
      </c>
      <c r="D88" s="940"/>
      <c r="E88" s="941"/>
      <c r="F88" s="941"/>
      <c r="G88" s="941"/>
      <c r="H88" s="942"/>
      <c r="I88" s="12"/>
    </row>
    <row r="89" spans="2:22" x14ac:dyDescent="0.3">
      <c r="B89" s="9"/>
      <c r="C89" s="593" t="s">
        <v>88</v>
      </c>
      <c r="D89" s="940"/>
      <c r="E89" s="941"/>
      <c r="F89" s="941"/>
      <c r="G89" s="941"/>
      <c r="H89" s="942"/>
      <c r="I89" s="12"/>
    </row>
    <row r="90" spans="2:22" x14ac:dyDescent="0.3">
      <c r="B90" s="9"/>
      <c r="C90" s="593" t="s">
        <v>89</v>
      </c>
      <c r="D90" s="618"/>
      <c r="E90" s="11"/>
      <c r="F90" s="11"/>
      <c r="G90" s="11"/>
      <c r="H90" s="11"/>
      <c r="I90" s="12"/>
    </row>
    <row r="91" spans="2:22" ht="15" customHeight="1" x14ac:dyDescent="0.3">
      <c r="B91" s="9"/>
      <c r="C91" s="593" t="s">
        <v>90</v>
      </c>
      <c r="D91" s="619"/>
      <c r="E91" s="11"/>
      <c r="F91" s="11"/>
      <c r="G91" s="11"/>
      <c r="H91" s="11"/>
      <c r="I91" s="12"/>
    </row>
    <row r="92" spans="2:22" x14ac:dyDescent="0.3">
      <c r="B92" s="9"/>
      <c r="C92" s="14"/>
      <c r="D92" s="11"/>
      <c r="E92" s="11"/>
      <c r="F92" s="11"/>
      <c r="G92" s="11"/>
      <c r="H92" s="11"/>
      <c r="I92" s="12"/>
    </row>
    <row r="93" spans="2:22" x14ac:dyDescent="0.3">
      <c r="B93" s="9"/>
      <c r="C93" s="939" t="s">
        <v>462</v>
      </c>
      <c r="D93" s="939"/>
      <c r="E93" s="939"/>
      <c r="F93" s="939"/>
      <c r="G93" s="939"/>
      <c r="H93" s="939"/>
      <c r="I93" s="12"/>
    </row>
    <row r="94" spans="2:22" x14ac:dyDescent="0.3">
      <c r="B94" s="9"/>
      <c r="C94" s="593" t="s">
        <v>463</v>
      </c>
      <c r="D94" s="940"/>
      <c r="E94" s="941"/>
      <c r="F94" s="941"/>
      <c r="G94" s="941"/>
      <c r="H94" s="942"/>
      <c r="I94" s="12"/>
    </row>
    <row r="95" spans="2:22" x14ac:dyDescent="0.3">
      <c r="B95" s="9"/>
      <c r="C95" s="593" t="s">
        <v>31</v>
      </c>
      <c r="D95" s="620"/>
      <c r="E95" s="11"/>
      <c r="F95" s="11"/>
      <c r="G95" s="11"/>
      <c r="H95" s="11"/>
      <c r="I95" s="12"/>
    </row>
    <row r="96" spans="2:22" x14ac:dyDescent="0.3">
      <c r="B96" s="9"/>
      <c r="C96" s="593" t="s">
        <v>89</v>
      </c>
      <c r="D96" s="621"/>
      <c r="E96" s="11"/>
      <c r="F96" s="11"/>
      <c r="G96" s="11"/>
      <c r="H96" s="11"/>
      <c r="I96" s="12"/>
    </row>
    <row r="97" spans="2:22" x14ac:dyDescent="0.3">
      <c r="B97" s="9"/>
      <c r="C97" s="593" t="s">
        <v>90</v>
      </c>
      <c r="D97" s="620"/>
      <c r="E97" s="11"/>
      <c r="F97" s="11"/>
      <c r="G97" s="11"/>
      <c r="H97" s="11"/>
      <c r="I97" s="12"/>
    </row>
    <row r="98" spans="2:22" x14ac:dyDescent="0.3">
      <c r="B98" s="9"/>
      <c r="C98" s="14"/>
      <c r="D98" s="11"/>
      <c r="E98" s="11"/>
      <c r="F98" s="11"/>
      <c r="G98" s="11"/>
      <c r="H98" s="11"/>
      <c r="I98" s="12"/>
    </row>
    <row r="99" spans="2:22" x14ac:dyDescent="0.3">
      <c r="B99" s="9"/>
      <c r="C99" s="939" t="s">
        <v>464</v>
      </c>
      <c r="D99" s="939"/>
      <c r="E99" s="939"/>
      <c r="F99" s="939"/>
      <c r="G99" s="939"/>
      <c r="H99" s="939"/>
      <c r="I99" s="12"/>
    </row>
    <row r="100" spans="2:22" x14ac:dyDescent="0.3">
      <c r="B100" s="9"/>
      <c r="C100" s="16" t="s">
        <v>260</v>
      </c>
      <c r="D100" s="940"/>
      <c r="E100" s="941"/>
      <c r="F100" s="941"/>
      <c r="G100" s="941"/>
      <c r="H100" s="942"/>
      <c r="I100" s="12"/>
    </row>
    <row r="101" spans="2:22" x14ac:dyDescent="0.3">
      <c r="B101" s="9"/>
      <c r="C101" s="593" t="s">
        <v>91</v>
      </c>
      <c r="D101" s="620"/>
      <c r="E101" s="11"/>
      <c r="F101" s="11"/>
      <c r="G101" s="11"/>
      <c r="H101" s="11"/>
      <c r="I101" s="12"/>
    </row>
    <row r="102" spans="2:22" x14ac:dyDescent="0.3">
      <c r="B102" s="9"/>
      <c r="C102" s="593" t="s">
        <v>92</v>
      </c>
      <c r="D102" s="620"/>
      <c r="E102" s="11"/>
      <c r="F102" s="11"/>
      <c r="G102" s="11"/>
      <c r="H102" s="11"/>
      <c r="I102" s="12"/>
    </row>
    <row r="103" spans="2:22" x14ac:dyDescent="0.3">
      <c r="B103" s="9"/>
      <c r="C103" s="14"/>
      <c r="D103" s="11"/>
      <c r="E103" s="11"/>
      <c r="F103" s="11"/>
      <c r="G103" s="11"/>
      <c r="H103" s="11"/>
      <c r="I103" s="12"/>
      <c r="Q103" s="4"/>
      <c r="R103" s="4"/>
      <c r="U103" s="3"/>
      <c r="V103" s="3"/>
    </row>
    <row r="104" spans="2:22" x14ac:dyDescent="0.3">
      <c r="B104" s="9"/>
      <c r="C104" s="939" t="s">
        <v>465</v>
      </c>
      <c r="D104" s="939"/>
      <c r="E104" s="939"/>
      <c r="F104" s="939"/>
      <c r="G104" s="939"/>
      <c r="H104" s="939"/>
      <c r="I104" s="12"/>
      <c r="Q104" s="4"/>
      <c r="R104" s="4"/>
      <c r="U104" s="3"/>
      <c r="V104" s="3"/>
    </row>
    <row r="105" spans="2:22" x14ac:dyDescent="0.3">
      <c r="B105" s="9"/>
      <c r="C105" s="17" t="s">
        <v>9</v>
      </c>
      <c r="D105" s="595" t="s">
        <v>176</v>
      </c>
      <c r="E105" s="11"/>
      <c r="F105" s="11"/>
      <c r="G105" s="11"/>
      <c r="H105" s="11"/>
      <c r="I105" s="12"/>
      <c r="Q105" s="4"/>
      <c r="R105" s="4"/>
      <c r="U105" s="3"/>
      <c r="V105" s="3"/>
    </row>
    <row r="106" spans="2:22" x14ac:dyDescent="0.3">
      <c r="B106" s="9"/>
      <c r="C106" s="437" t="s">
        <v>469</v>
      </c>
      <c r="D106" s="632"/>
      <c r="E106" s="11"/>
      <c r="F106" s="11"/>
      <c r="G106" s="11"/>
      <c r="H106" s="11"/>
      <c r="I106" s="12"/>
      <c r="Q106" s="4"/>
      <c r="R106" s="4"/>
      <c r="U106" s="3"/>
      <c r="V106" s="3"/>
    </row>
    <row r="107" spans="2:22" ht="15.6" x14ac:dyDescent="0.3">
      <c r="B107" s="9"/>
      <c r="C107" s="437" t="s">
        <v>468</v>
      </c>
      <c r="D107" s="816">
        <f>D106*'16. Fatores de conversão'!C6</f>
        <v>0</v>
      </c>
      <c r="E107" s="11"/>
      <c r="F107" s="11"/>
      <c r="G107" s="11"/>
      <c r="H107" s="11"/>
      <c r="I107" s="12"/>
      <c r="Q107" s="4"/>
      <c r="R107" s="4"/>
      <c r="U107" s="3"/>
      <c r="V107" s="3"/>
    </row>
    <row r="108" spans="2:22" x14ac:dyDescent="0.3">
      <c r="B108" s="9"/>
      <c r="C108" s="437" t="s">
        <v>466</v>
      </c>
      <c r="D108" s="816">
        <f>D107*0.000086</f>
        <v>0</v>
      </c>
      <c r="E108" s="11"/>
      <c r="F108" s="11"/>
      <c r="G108" s="11"/>
      <c r="H108" s="11"/>
      <c r="I108" s="12"/>
      <c r="Q108" s="4"/>
      <c r="R108" s="4"/>
      <c r="U108" s="3"/>
      <c r="V108" s="3"/>
    </row>
    <row r="109" spans="2:22" x14ac:dyDescent="0.3">
      <c r="B109" s="9"/>
      <c r="C109" s="17" t="s">
        <v>9</v>
      </c>
      <c r="D109" s="595" t="str">
        <f>+D105</f>
        <v>Energia Elétrica</v>
      </c>
      <c r="E109" s="11"/>
      <c r="F109" s="11"/>
      <c r="G109" s="11"/>
      <c r="H109" s="11"/>
      <c r="I109" s="12"/>
      <c r="Q109" s="4"/>
      <c r="R109" s="4"/>
      <c r="U109" s="3"/>
      <c r="V109" s="3"/>
    </row>
    <row r="110" spans="2:22" x14ac:dyDescent="0.3">
      <c r="B110" s="9"/>
      <c r="C110" s="16" t="s">
        <v>203</v>
      </c>
      <c r="D110" s="630"/>
      <c r="E110" s="11"/>
      <c r="F110" s="11"/>
      <c r="G110" s="11"/>
      <c r="H110" s="11"/>
      <c r="I110" s="12"/>
    </row>
    <row r="111" spans="2:22" x14ac:dyDescent="0.3">
      <c r="B111" s="9"/>
      <c r="C111" s="19" t="s">
        <v>467</v>
      </c>
      <c r="D111" s="815">
        <f>D106*D110</f>
        <v>0</v>
      </c>
      <c r="E111" s="11"/>
      <c r="F111" s="11"/>
      <c r="G111" s="11"/>
      <c r="H111" s="11"/>
      <c r="I111" s="12"/>
    </row>
    <row r="112" spans="2:22" ht="15" thickBot="1" x14ac:dyDescent="0.35">
      <c r="B112" s="27"/>
      <c r="C112" s="28"/>
      <c r="D112" s="29"/>
      <c r="E112" s="29"/>
      <c r="F112" s="29"/>
      <c r="G112" s="29"/>
      <c r="H112" s="29"/>
      <c r="I112" s="30"/>
    </row>
  </sheetData>
  <sheetProtection algorithmName="SHA-512" hashValue="45Wb4zIUZI0PJ9DlCYDZpQsOH0f8f4TI+rwb4geq4mcC9YuW12M0O0jWZlMmWIHrFvHXmHkKJZsU74AcCJXp8g==" saltValue="gsjWFcRZ7DL+jy7zFI/+EA==" spinCount="100000" sheet="1" objects="1" scenarios="1" selectLockedCells="1"/>
  <protectedRanges>
    <protectedRange sqref="D23:H23 D28:H31 D34:H34 D35:D38 D42:D44 D47 D51:E51 D56:H56 D68:F76 D78 D80 G51:H51 D89:H89 D94:H97 D100:H100 D101:D102 D110" name="Folha1"/>
    <protectedRange sqref="D41" name="Folha1_2"/>
    <protectedRange sqref="D48" name="Folha1_1"/>
    <protectedRange sqref="D62:F67" name="Folha1_4"/>
    <protectedRange sqref="D24 D90" name="Folha1_8"/>
    <protectedRange sqref="D25 D91" name="Folha1_10"/>
    <protectedRange sqref="D22:H22 D88:H88" name="Folha1_11"/>
  </protectedRanges>
  <mergeCells count="51">
    <mergeCell ref="J12:K12"/>
    <mergeCell ref="D6:E6"/>
    <mergeCell ref="D4:E4"/>
    <mergeCell ref="D5:E5"/>
    <mergeCell ref="F5:G5"/>
    <mergeCell ref="D8:I8"/>
    <mergeCell ref="E49:H49"/>
    <mergeCell ref="D61:F61"/>
    <mergeCell ref="I55:I58"/>
    <mergeCell ref="D65:F65"/>
    <mergeCell ref="D66:F66"/>
    <mergeCell ref="D53:H53"/>
    <mergeCell ref="D54:H54"/>
    <mergeCell ref="D58:H58"/>
    <mergeCell ref="D64:F64"/>
    <mergeCell ref="C21:H21"/>
    <mergeCell ref="C27:H27"/>
    <mergeCell ref="C46:H46"/>
    <mergeCell ref="C33:H33"/>
    <mergeCell ref="C40:H40"/>
    <mergeCell ref="D22:H22"/>
    <mergeCell ref="D28:H28"/>
    <mergeCell ref="D34:H34"/>
    <mergeCell ref="D23:H23"/>
    <mergeCell ref="D76:F76"/>
    <mergeCell ref="G78:I78"/>
    <mergeCell ref="C60:H60"/>
    <mergeCell ref="D63:F63"/>
    <mergeCell ref="D71:F71"/>
    <mergeCell ref="D62:F62"/>
    <mergeCell ref="D70:F70"/>
    <mergeCell ref="D72:F72"/>
    <mergeCell ref="D69:F69"/>
    <mergeCell ref="D68:F68"/>
    <mergeCell ref="D67:F67"/>
    <mergeCell ref="B15:I16"/>
    <mergeCell ref="C85:I85"/>
    <mergeCell ref="C99:H99"/>
    <mergeCell ref="D100:H100"/>
    <mergeCell ref="C104:H104"/>
    <mergeCell ref="C87:H87"/>
    <mergeCell ref="D88:H88"/>
    <mergeCell ref="D89:H89"/>
    <mergeCell ref="C93:H93"/>
    <mergeCell ref="D94:H94"/>
    <mergeCell ref="C19:H19"/>
    <mergeCell ref="D73:F73"/>
    <mergeCell ref="D52:H52"/>
    <mergeCell ref="G80:I80"/>
    <mergeCell ref="D74:F74"/>
    <mergeCell ref="D75:F75"/>
  </mergeCells>
  <pageMargins left="0.7" right="0.7" top="0.75" bottom="0.75" header="0.3" footer="0.3"/>
  <pageSetup paperSize="9" orientation="portrait" r:id="rId1"/>
  <ignoredErrors>
    <ignoredError sqref="D10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'16. Fatores de conversão'!$M$2:$M$3</xm:f>
          </x14:formula1>
          <xm:sqref>D80 G62:G76</xm:sqref>
        </x14:dataValidation>
        <x14:dataValidation type="list" allowBlank="1" showInputMessage="1" showErrorMessage="1">
          <x14:formula1>
            <xm:f>'16. Fatores de conversão'!$A$6:$A$14</xm:f>
          </x14:formula1>
          <xm:sqref>D50:H50</xm:sqref>
        </x14:dataValidation>
        <x14:dataValidation type="list" allowBlank="1" showInputMessage="1" showErrorMessage="1">
          <x14:formula1>
            <xm:f>'16. Fatores de conversão'!$M$9:$M$16</xm:f>
          </x14:formula1>
          <xm:sqref>D78 D47</xm:sqref>
        </x14:dataValidation>
        <x14:dataValidation type="list" allowBlank="1" showInputMessage="1" showErrorMessage="1">
          <x14:formula1>
            <xm:f>'16. Fatores de conversão'!$M$6:$M$7</xm:f>
          </x14:formula1>
          <xm:sqref>D6:E6</xm:sqref>
        </x14:dataValidation>
        <x14:dataValidation type="list" allowBlank="1" showInputMessage="1" showErrorMessage="1">
          <x14:formula1>
            <xm:f>'16. Fatores de conversão'!$G$19:$G$22</xm:f>
          </x14:formula1>
          <xm:sqref>D38</xm:sqref>
        </x14:dataValidation>
        <x14:dataValidation type="list" allowBlank="1" showInputMessage="1" showErrorMessage="1">
          <x14:formula1>
            <xm:f>'16. Fatores de conversão'!$I$19:$I$21</xm:f>
          </x14:formula1>
          <xm:sqref>D37</xm:sqref>
        </x14:dataValidation>
        <x14:dataValidation type="list" allowBlank="1" showInputMessage="1" showErrorMessage="1">
          <x14:formula1>
            <xm:f>'12.1 Apoio reembolsável'!$C$6:$C$12</xm:f>
          </x14:formula1>
          <xm:sqref>H62:H76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topLeftCell="A14" workbookViewId="0">
      <selection activeCell="E14" sqref="E14:G14"/>
    </sheetView>
  </sheetViews>
  <sheetFormatPr defaultColWidth="9.109375" defaultRowHeight="14.4" x14ac:dyDescent="0.3"/>
  <cols>
    <col min="1" max="1" width="3.44140625" style="4" customWidth="1"/>
    <col min="2" max="2" width="36.5546875" style="4" bestFit="1" customWidth="1"/>
    <col min="3" max="3" width="35.5546875" style="4" customWidth="1"/>
    <col min="4" max="4" width="7.44140625" style="4" customWidth="1"/>
    <col min="5" max="5" width="29" style="4" customWidth="1"/>
    <col min="6" max="6" width="28.6640625" style="4" customWidth="1"/>
    <col min="7" max="7" width="27.33203125" style="4" bestFit="1" customWidth="1"/>
    <col min="8" max="8" width="16" style="4" bestFit="1" customWidth="1"/>
    <col min="9" max="9" width="18.109375" style="4" customWidth="1"/>
    <col min="10" max="10" width="19.109375" style="4" customWidth="1"/>
    <col min="11" max="11" width="18.88671875" style="4" customWidth="1"/>
    <col min="12" max="12" width="13.44140625" style="4" bestFit="1" customWidth="1"/>
    <col min="13" max="13" width="14.5546875" style="4" customWidth="1"/>
    <col min="14" max="14" width="13.109375" style="4" customWidth="1"/>
    <col min="15" max="15" width="17" style="4" bestFit="1" customWidth="1"/>
    <col min="16" max="16384" width="9.109375" style="4"/>
  </cols>
  <sheetData>
    <row r="1" spans="2:12" ht="15.75" thickBot="1" x14ac:dyDescent="0.3"/>
    <row r="2" spans="2:12" s="851" customFormat="1" ht="15.75" thickBot="1" x14ac:dyDescent="0.3">
      <c r="B2" s="287" t="s">
        <v>70</v>
      </c>
      <c r="C2" s="750">
        <f>'12.1 Apoio reembolsável'!D40</f>
        <v>0</v>
      </c>
      <c r="D2" s="848"/>
      <c r="E2" s="1276" t="str">
        <f>IF('1. Identificação Ben. Oper.'!D88="","",'1. Identificação Ben. Oper.'!D88)</f>
        <v/>
      </c>
      <c r="F2" s="1277"/>
      <c r="G2" s="1278"/>
      <c r="H2" s="849"/>
      <c r="I2" s="850"/>
      <c r="J2" s="850"/>
      <c r="K2" s="850"/>
      <c r="L2" s="850"/>
    </row>
    <row r="3" spans="2:12" s="851" customFormat="1" ht="15.75" thickBot="1" x14ac:dyDescent="0.3">
      <c r="B3" s="288" t="s">
        <v>71</v>
      </c>
      <c r="C3" s="751">
        <f>'12.1 Apoio reembolsável'!D41</f>
        <v>0</v>
      </c>
      <c r="D3" s="848"/>
      <c r="E3" s="1255" t="s">
        <v>519</v>
      </c>
      <c r="F3" s="1256"/>
      <c r="G3" s="1257"/>
      <c r="H3" s="849"/>
      <c r="I3" s="850"/>
      <c r="J3" s="850"/>
      <c r="K3" s="843"/>
      <c r="L3" s="850"/>
    </row>
    <row r="4" spans="2:12" s="851" customFormat="1" ht="28.8" x14ac:dyDescent="0.3">
      <c r="B4" s="288" t="s">
        <v>325</v>
      </c>
      <c r="C4" s="753">
        <f>'12.1 Apoio reembolsável'!D42</f>
        <v>0</v>
      </c>
      <c r="D4" s="854"/>
      <c r="E4" s="855" t="s">
        <v>500</v>
      </c>
      <c r="F4" s="856" t="s">
        <v>501</v>
      </c>
      <c r="G4" s="857" t="s">
        <v>502</v>
      </c>
      <c r="H4" s="849"/>
      <c r="I4" s="843"/>
      <c r="J4" s="843"/>
      <c r="K4" s="843"/>
      <c r="L4" s="843"/>
    </row>
    <row r="5" spans="2:12" s="851" customFormat="1" ht="15" thickBot="1" x14ac:dyDescent="0.35">
      <c r="B5" s="288" t="s">
        <v>328</v>
      </c>
      <c r="C5" s="751">
        <f>'12.1 Apoio reembolsável'!D43</f>
        <v>0</v>
      </c>
      <c r="D5" s="848"/>
      <c r="E5" s="859">
        <f>'1. Identificação Ben. Oper.'!D108</f>
        <v>0</v>
      </c>
      <c r="F5" s="860">
        <f>'13. Indicadores'!F20*0.000086</f>
        <v>0</v>
      </c>
      <c r="G5" s="861" t="e">
        <f>F5/E5</f>
        <v>#DIV/0!</v>
      </c>
      <c r="H5" s="849"/>
      <c r="I5" s="850"/>
      <c r="J5" s="850"/>
      <c r="K5" s="843"/>
      <c r="L5" s="843"/>
    </row>
    <row r="6" spans="2:12" s="851" customFormat="1" ht="15.75" thickBot="1" x14ac:dyDescent="0.3">
      <c r="B6" s="288" t="s">
        <v>72</v>
      </c>
      <c r="C6" s="752">
        <f>'12.1 Apoio reembolsável'!D44</f>
        <v>0</v>
      </c>
      <c r="D6" s="848"/>
      <c r="E6" s="1255" t="s">
        <v>520</v>
      </c>
      <c r="F6" s="1256"/>
      <c r="G6" s="1257"/>
      <c r="H6" s="849"/>
      <c r="I6" s="850"/>
      <c r="J6" s="850"/>
      <c r="K6" s="843"/>
      <c r="L6" s="843"/>
    </row>
    <row r="7" spans="2:12" s="851" customFormat="1" ht="28.8" x14ac:dyDescent="0.3">
      <c r="B7" s="289" t="s">
        <v>136</v>
      </c>
      <c r="C7" s="753">
        <f>'12.1 Apoio reembolsável'!D45</f>
        <v>0</v>
      </c>
      <c r="D7" s="848"/>
      <c r="E7" s="855" t="s">
        <v>503</v>
      </c>
      <c r="F7" s="856" t="s">
        <v>504</v>
      </c>
      <c r="G7" s="857" t="s">
        <v>502</v>
      </c>
      <c r="H7" s="849"/>
      <c r="I7" s="850"/>
      <c r="J7" s="850"/>
      <c r="K7" s="843"/>
      <c r="L7" s="843"/>
    </row>
    <row r="8" spans="2:12" s="851" customFormat="1" ht="15.75" thickBot="1" x14ac:dyDescent="0.3">
      <c r="B8" s="371" t="s">
        <v>137</v>
      </c>
      <c r="C8" s="753">
        <f>'12.1 Apoio reembolsável'!D46</f>
        <v>0</v>
      </c>
      <c r="D8" s="848"/>
      <c r="E8" s="859">
        <f>'1. Identificação Ben. Oper.'!D106*'16. Fatores de conversão'!I6/1000</f>
        <v>0</v>
      </c>
      <c r="F8" s="862">
        <f>'9. Medidas c)'!AB26</f>
        <v>0</v>
      </c>
      <c r="G8" s="861" t="e">
        <f>F8/E8</f>
        <v>#DIV/0!</v>
      </c>
      <c r="H8" s="849"/>
      <c r="I8" s="850"/>
      <c r="J8" s="850"/>
      <c r="K8" s="843"/>
      <c r="L8" s="843"/>
    </row>
    <row r="9" spans="2:12" s="851" customFormat="1" ht="15.75" thickBot="1" x14ac:dyDescent="0.3">
      <c r="B9" s="290" t="s">
        <v>74</v>
      </c>
      <c r="C9" s="754">
        <f>'12.1 Apoio reembolsável'!D47</f>
        <v>0</v>
      </c>
      <c r="D9" s="854"/>
      <c r="E9" s="1255" t="s">
        <v>521</v>
      </c>
      <c r="F9" s="1256"/>
      <c r="G9" s="1257"/>
      <c r="H9" s="863"/>
      <c r="I9" s="843"/>
      <c r="J9" s="843"/>
      <c r="K9" s="843"/>
      <c r="L9" s="843"/>
    </row>
    <row r="10" spans="2:12" s="851" customFormat="1" ht="29.4" thickBot="1" x14ac:dyDescent="0.35">
      <c r="B10" s="290" t="s">
        <v>329</v>
      </c>
      <c r="C10" s="754">
        <f>'12.1 Apoio reembolsável'!D48</f>
        <v>0</v>
      </c>
      <c r="E10" s="864" t="s">
        <v>505</v>
      </c>
      <c r="F10" s="865" t="s">
        <v>506</v>
      </c>
      <c r="G10" s="857" t="s">
        <v>507</v>
      </c>
      <c r="K10" s="867"/>
      <c r="L10" s="867"/>
    </row>
    <row r="11" spans="2:12" s="851" customFormat="1" ht="30.75" thickBot="1" x14ac:dyDescent="0.3">
      <c r="B11" s="846" t="s">
        <v>508</v>
      </c>
      <c r="C11" s="755">
        <f>'12.1 Apoio reembolsável'!D49</f>
        <v>0</v>
      </c>
      <c r="D11" s="838"/>
      <c r="E11" s="896">
        <f>B17</f>
        <v>0</v>
      </c>
      <c r="F11" s="868">
        <f>F5</f>
        <v>0</v>
      </c>
      <c r="G11" s="869" t="e">
        <f>E11/F11</f>
        <v>#DIV/0!</v>
      </c>
    </row>
    <row r="12" spans="2:12" s="851" customFormat="1" ht="29.4" thickBot="1" x14ac:dyDescent="0.35">
      <c r="B12" s="207" t="s">
        <v>509</v>
      </c>
      <c r="C12" s="756">
        <f>'12.1 Apoio reembolsável'!D50</f>
        <v>0</v>
      </c>
      <c r="D12" s="839"/>
      <c r="E12" s="1279" t="s">
        <v>522</v>
      </c>
      <c r="F12" s="1280"/>
      <c r="G12" s="1281"/>
      <c r="H12" s="65"/>
      <c r="I12" s="838"/>
    </row>
    <row r="13" spans="2:12" s="851" customFormat="1" ht="33.75" customHeight="1" thickBot="1" x14ac:dyDescent="0.35">
      <c r="B13" s="286" t="s">
        <v>154</v>
      </c>
      <c r="C13" s="757">
        <f>'12.1 Apoio reembolsável'!D51</f>
        <v>0</v>
      </c>
      <c r="D13" s="842"/>
      <c r="E13" s="1273" t="s">
        <v>539</v>
      </c>
      <c r="F13" s="1274"/>
      <c r="G13" s="1275"/>
      <c r="H13" s="65"/>
      <c r="I13" s="838"/>
    </row>
    <row r="14" spans="2:12" s="851" customFormat="1" ht="15.75" thickBot="1" x14ac:dyDescent="0.3">
      <c r="B14" s="844"/>
      <c r="C14" s="845"/>
      <c r="D14" s="842"/>
      <c r="E14" s="1252"/>
      <c r="F14" s="1253"/>
      <c r="G14" s="1254"/>
      <c r="H14" s="839"/>
      <c r="I14" s="839"/>
    </row>
    <row r="15" spans="2:12" s="851" customFormat="1" ht="15.75" thickBot="1" x14ac:dyDescent="0.3">
      <c r="B15" s="20"/>
      <c r="C15" s="841"/>
      <c r="D15" s="842"/>
      <c r="H15" s="870"/>
      <c r="I15" s="843"/>
    </row>
    <row r="16" spans="2:12" s="851" customFormat="1" ht="16.2" thickBot="1" x14ac:dyDescent="0.35">
      <c r="B16" s="871" t="s">
        <v>510</v>
      </c>
      <c r="D16" s="872"/>
    </row>
    <row r="17" spans="2:8" ht="16.5" thickBot="1" x14ac:dyDescent="0.3">
      <c r="B17" s="873">
        <f>C13</f>
        <v>0</v>
      </c>
    </row>
    <row r="18" spans="2:8" ht="15.75" thickBot="1" x14ac:dyDescent="0.3"/>
    <row r="19" spans="2:8" ht="15.75" thickBot="1" x14ac:dyDescent="0.3">
      <c r="B19" s="1258" t="s">
        <v>543</v>
      </c>
      <c r="C19" s="1259"/>
    </row>
    <row r="20" spans="2:8" ht="15" thickBot="1" x14ac:dyDescent="0.35">
      <c r="B20" s="1260" t="s">
        <v>511</v>
      </c>
      <c r="C20" s="1261"/>
    </row>
    <row r="21" spans="2:8" ht="15.75" customHeight="1" thickBot="1" x14ac:dyDescent="0.35">
      <c r="B21" s="875" t="s">
        <v>519</v>
      </c>
      <c r="C21" s="876" t="e">
        <f>IF(G5&lt;10%,1,IF(G5&lt;=30%,3,5))</f>
        <v>#DIV/0!</v>
      </c>
      <c r="E21" s="146"/>
      <c r="F21" s="1262" t="s">
        <v>410</v>
      </c>
      <c r="G21" s="1263"/>
    </row>
    <row r="22" spans="2:8" ht="15" thickBot="1" x14ac:dyDescent="0.35">
      <c r="B22" s="877" t="s">
        <v>520</v>
      </c>
      <c r="C22" s="878" t="e">
        <f>IF(G8&lt;3%,1,IF(G8&lt;=10%,3,5))</f>
        <v>#DIV/0!</v>
      </c>
      <c r="E22" s="555" t="s">
        <v>409</v>
      </c>
      <c r="F22" s="554" t="str">
        <f>IF('13. Indicadores'!F20=0,"",IF(G22&gt;=30%,"Projeto Elegível","Projeto Não Elegível!"))</f>
        <v/>
      </c>
      <c r="G22" s="765" t="str">
        <f>IF('1. Identificação Ben. Oper.'!D107=0,"",'13. Indicadores'!F20/'1. Identificação Ben. Oper.'!D107)</f>
        <v/>
      </c>
    </row>
    <row r="23" spans="2:8" ht="15" x14ac:dyDescent="0.25">
      <c r="B23" s="877" t="s">
        <v>521</v>
      </c>
      <c r="C23" s="878" t="e">
        <f>IF(G11&lt;3000,5,IF(G11&lt;12000,3,1))</f>
        <v>#DIV/0!</v>
      </c>
    </row>
    <row r="24" spans="2:8" ht="15.75" thickBot="1" x14ac:dyDescent="0.3">
      <c r="B24" s="879" t="s">
        <v>522</v>
      </c>
      <c r="C24" s="880" t="str">
        <f>IF(E14="","Preencher a informação em E14:G14!",IF(E14="Sim",5,1))</f>
        <v>Preencher a informação em E14:G14!</v>
      </c>
    </row>
    <row r="25" spans="2:8" ht="16.2" thickBot="1" x14ac:dyDescent="0.35">
      <c r="B25" s="1268" t="s">
        <v>512</v>
      </c>
      <c r="C25" s="1269"/>
    </row>
    <row r="26" spans="2:8" ht="16.5" thickBot="1" x14ac:dyDescent="0.3">
      <c r="B26" s="883" t="s">
        <v>513</v>
      </c>
      <c r="C26" s="884" t="e">
        <f>C21*0.3+C22*0.3+C23*0.35+C24*0.05</f>
        <v>#DIV/0!</v>
      </c>
    </row>
    <row r="28" spans="2:8" ht="15.75" thickBot="1" x14ac:dyDescent="0.3"/>
    <row r="29" spans="2:8" ht="25.5" customHeight="1" thickBot="1" x14ac:dyDescent="0.35">
      <c r="B29" s="1226" t="s">
        <v>527</v>
      </c>
      <c r="C29" s="1227"/>
      <c r="D29" s="1227"/>
      <c r="E29" s="1227"/>
      <c r="F29" s="1227"/>
      <c r="G29" s="1227"/>
      <c r="H29" s="885" t="s">
        <v>532</v>
      </c>
    </row>
    <row r="30" spans="2:8" ht="15" customHeight="1" x14ac:dyDescent="0.3">
      <c r="B30" s="1270" t="s">
        <v>519</v>
      </c>
      <c r="C30" s="1234" t="s">
        <v>526</v>
      </c>
      <c r="D30" s="1235"/>
      <c r="E30" s="1235"/>
      <c r="F30" s="1235"/>
      <c r="G30" s="1235"/>
      <c r="H30" s="886">
        <v>5</v>
      </c>
    </row>
    <row r="31" spans="2:8" ht="15" customHeight="1" x14ac:dyDescent="0.3">
      <c r="B31" s="1271"/>
      <c r="C31" s="1229" t="s">
        <v>525</v>
      </c>
      <c r="D31" s="1242"/>
      <c r="E31" s="1242"/>
      <c r="F31" s="1242"/>
      <c r="G31" s="1242"/>
      <c r="H31" s="887">
        <v>3</v>
      </c>
    </row>
    <row r="32" spans="2:8" ht="15" customHeight="1" thickBot="1" x14ac:dyDescent="0.35">
      <c r="B32" s="1272"/>
      <c r="C32" s="1229" t="s">
        <v>524</v>
      </c>
      <c r="D32" s="1242"/>
      <c r="E32" s="1242"/>
      <c r="F32" s="1242"/>
      <c r="G32" s="1242"/>
      <c r="H32" s="888">
        <v>1</v>
      </c>
    </row>
    <row r="33" spans="2:8" ht="24.75" customHeight="1" thickBot="1" x14ac:dyDescent="0.35">
      <c r="B33" s="1226" t="s">
        <v>514</v>
      </c>
      <c r="C33" s="1227"/>
      <c r="D33" s="1227"/>
      <c r="E33" s="1227"/>
      <c r="F33" s="1227"/>
      <c r="G33" s="1228"/>
      <c r="H33" s="889"/>
    </row>
    <row r="34" spans="2:8" ht="15" customHeight="1" x14ac:dyDescent="0.3">
      <c r="B34" s="1232" t="s">
        <v>520</v>
      </c>
      <c r="C34" s="1240" t="s">
        <v>528</v>
      </c>
      <c r="D34" s="1241"/>
      <c r="E34" s="1241"/>
      <c r="F34" s="1241"/>
      <c r="G34" s="1241"/>
      <c r="H34" s="890">
        <v>5</v>
      </c>
    </row>
    <row r="35" spans="2:8" ht="15" customHeight="1" x14ac:dyDescent="0.3">
      <c r="B35" s="1233"/>
      <c r="C35" s="1229" t="s">
        <v>529</v>
      </c>
      <c r="D35" s="1242"/>
      <c r="E35" s="1242"/>
      <c r="F35" s="1242"/>
      <c r="G35" s="1242"/>
      <c r="H35" s="887">
        <v>3</v>
      </c>
    </row>
    <row r="36" spans="2:8" ht="15.75" customHeight="1" thickBot="1" x14ac:dyDescent="0.35">
      <c r="B36" s="1239"/>
      <c r="C36" s="1237" t="s">
        <v>530</v>
      </c>
      <c r="D36" s="1238"/>
      <c r="E36" s="1238"/>
      <c r="F36" s="1238"/>
      <c r="G36" s="1238"/>
      <c r="H36" s="891">
        <v>1</v>
      </c>
    </row>
    <row r="37" spans="2:8" ht="24.75" customHeight="1" thickBot="1" x14ac:dyDescent="0.35">
      <c r="B37" s="1226" t="s">
        <v>515</v>
      </c>
      <c r="C37" s="1227"/>
      <c r="D37" s="1227"/>
      <c r="E37" s="1227"/>
      <c r="F37" s="1227"/>
      <c r="G37" s="1228"/>
      <c r="H37" s="889"/>
    </row>
    <row r="38" spans="2:8" ht="15" customHeight="1" x14ac:dyDescent="0.3">
      <c r="B38" s="1232" t="s">
        <v>521</v>
      </c>
      <c r="C38" s="1243" t="s">
        <v>544</v>
      </c>
      <c r="D38" s="1244"/>
      <c r="E38" s="1244"/>
      <c r="F38" s="1244"/>
      <c r="G38" s="1244"/>
      <c r="H38" s="890">
        <v>5</v>
      </c>
    </row>
    <row r="39" spans="2:8" ht="15" customHeight="1" x14ac:dyDescent="0.3">
      <c r="B39" s="1233"/>
      <c r="C39" s="1245" t="s">
        <v>545</v>
      </c>
      <c r="D39" s="1246"/>
      <c r="E39" s="1246"/>
      <c r="F39" s="1246"/>
      <c r="G39" s="1246"/>
      <c r="H39" s="887">
        <v>3</v>
      </c>
    </row>
    <row r="40" spans="2:8" ht="15" customHeight="1" thickBot="1" x14ac:dyDescent="0.35">
      <c r="B40" s="1239"/>
      <c r="C40" s="1247" t="s">
        <v>531</v>
      </c>
      <c r="D40" s="1248"/>
      <c r="E40" s="1248"/>
      <c r="F40" s="1248"/>
      <c r="G40" s="1248"/>
      <c r="H40" s="891">
        <v>1</v>
      </c>
    </row>
    <row r="41" spans="2:8" ht="26.25" customHeight="1" thickBot="1" x14ac:dyDescent="0.35">
      <c r="B41" s="1226" t="s">
        <v>516</v>
      </c>
      <c r="C41" s="1227"/>
      <c r="D41" s="1227"/>
      <c r="E41" s="1227"/>
      <c r="F41" s="1227"/>
      <c r="G41" s="1228"/>
      <c r="H41" s="889"/>
    </row>
    <row r="42" spans="2:8" ht="15.75" customHeight="1" x14ac:dyDescent="0.3">
      <c r="B42" s="1232" t="s">
        <v>522</v>
      </c>
      <c r="C42" s="1234" t="s">
        <v>534</v>
      </c>
      <c r="D42" s="1235"/>
      <c r="E42" s="1235"/>
      <c r="F42" s="1235"/>
      <c r="G42" s="1236"/>
      <c r="H42" s="890">
        <v>5</v>
      </c>
    </row>
    <row r="43" spans="2:8" ht="15" customHeight="1" thickBot="1" x14ac:dyDescent="0.35">
      <c r="B43" s="1250"/>
      <c r="C43" s="1282" t="s">
        <v>535</v>
      </c>
      <c r="D43" s="1283"/>
      <c r="E43" s="1283"/>
      <c r="F43" s="1283"/>
      <c r="G43" s="1283"/>
      <c r="H43" s="888">
        <v>1</v>
      </c>
    </row>
  </sheetData>
  <sheetProtection algorithmName="SHA-512" hashValue="JuNxxBat55I3tumIl3d3FSWOrdTST/nKCevv3NxR9cP/ykozWNyk/ORaDLTxExqq2F4BQ2KJxJXwAn434iTMXw==" saltValue="HOKUUSAeAiIQ8DnliWq9WQ==" spinCount="100000" sheet="1" objects="1" scenarios="1" selectLockedCells="1"/>
  <protectedRanges>
    <protectedRange sqref="C13:D14" name="Folha8_1"/>
    <protectedRange sqref="B9" name="Folha5_3"/>
    <protectedRange sqref="H9" name="Folha5"/>
  </protectedRanges>
  <mergeCells count="30">
    <mergeCell ref="C42:G42"/>
    <mergeCell ref="C43:G43"/>
    <mergeCell ref="B41:G41"/>
    <mergeCell ref="B42:B43"/>
    <mergeCell ref="B29:G29"/>
    <mergeCell ref="B33:G33"/>
    <mergeCell ref="B37:G37"/>
    <mergeCell ref="B34:B36"/>
    <mergeCell ref="C34:G34"/>
    <mergeCell ref="C35:G35"/>
    <mergeCell ref="C36:G36"/>
    <mergeCell ref="B38:B40"/>
    <mergeCell ref="C38:G38"/>
    <mergeCell ref="C39:G39"/>
    <mergeCell ref="C40:G40"/>
    <mergeCell ref="B30:B32"/>
    <mergeCell ref="C30:G30"/>
    <mergeCell ref="C31:G31"/>
    <mergeCell ref="C32:G32"/>
    <mergeCell ref="B25:C25"/>
    <mergeCell ref="E2:G2"/>
    <mergeCell ref="E3:G3"/>
    <mergeCell ref="E6:G6"/>
    <mergeCell ref="E9:G9"/>
    <mergeCell ref="E12:G12"/>
    <mergeCell ref="E13:G13"/>
    <mergeCell ref="E14:G14"/>
    <mergeCell ref="B19:C19"/>
    <mergeCell ref="B20:C20"/>
    <mergeCell ref="F21:G21"/>
  </mergeCells>
  <conditionalFormatting sqref="L10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F22">
    <cfRule type="containsText" dxfId="1" priority="1" operator="containsText" text="Projeto Não Elegível!">
      <formula>NOT(ISERROR(SEARCH("Projeto Não Elegível!",F22)))</formula>
    </cfRule>
    <cfRule type="containsText" dxfId="0" priority="2" operator="containsText" text="Projeto Elegível">
      <formula>NOT(ISERROR(SEARCH("Projeto Elegível",F22)))</formula>
    </cfRule>
  </conditionalFormatting>
  <dataValidations count="1">
    <dataValidation type="list" allowBlank="1" showInputMessage="1" showErrorMessage="1" sqref="E14:G14">
      <formula1>"Sim, Não"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B1:BA104"/>
  <sheetViews>
    <sheetView showGridLines="0" zoomScaleNormal="100" workbookViewId="0">
      <selection activeCell="G10" sqref="G10"/>
    </sheetView>
  </sheetViews>
  <sheetFormatPr defaultColWidth="9.109375" defaultRowHeight="14.4" x14ac:dyDescent="0.3"/>
  <cols>
    <col min="1" max="2" width="9.109375" style="3"/>
    <col min="3" max="3" width="11.5546875" style="1" customWidth="1"/>
    <col min="4" max="4" width="40.6640625" style="3" customWidth="1"/>
    <col min="5" max="5" width="21.6640625" style="3" customWidth="1"/>
    <col min="6" max="6" width="50.88671875" style="3" customWidth="1"/>
    <col min="7" max="28" width="13.5546875" style="3" customWidth="1"/>
    <col min="29" max="30" width="13.5546875" style="4" customWidth="1"/>
    <col min="31" max="33" width="13.5546875" style="3" customWidth="1"/>
    <col min="34" max="34" width="18" style="3" customWidth="1"/>
    <col min="35" max="36" width="13.5546875" style="3" customWidth="1"/>
    <col min="37" max="39" width="9.109375" style="3"/>
    <col min="40" max="40" width="18.5546875" style="3" customWidth="1"/>
    <col min="41" max="41" width="25.6640625" style="3" customWidth="1"/>
    <col min="42" max="45" width="18.5546875" style="3" customWidth="1"/>
    <col min="46" max="49" width="11.33203125" style="3" customWidth="1"/>
    <col min="50" max="16384" width="9.109375" style="3"/>
  </cols>
  <sheetData>
    <row r="1" spans="2:53" ht="15.75" thickBot="1" x14ac:dyDescent="0.3">
      <c r="AL1" s="143"/>
      <c r="AM1" s="143"/>
      <c r="AN1" s="143"/>
      <c r="AO1" s="143"/>
    </row>
    <row r="2" spans="2:53" ht="15" x14ac:dyDescent="0.25">
      <c r="B2" s="55"/>
      <c r="C2" s="5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57"/>
      <c r="AD2" s="57"/>
      <c r="AE2" s="7"/>
      <c r="AF2" s="7"/>
      <c r="AG2" s="7"/>
      <c r="AH2" s="7"/>
      <c r="AI2" s="7"/>
      <c r="AJ2" s="7"/>
      <c r="AK2" s="8"/>
      <c r="AL2" s="143"/>
      <c r="AM2" s="143"/>
      <c r="AN2" s="143"/>
      <c r="AO2" s="143"/>
    </row>
    <row r="3" spans="2:53" ht="21" x14ac:dyDescent="0.25">
      <c r="B3" s="15"/>
      <c r="C3" s="937" t="s">
        <v>33</v>
      </c>
      <c r="D3" s="937"/>
      <c r="E3" s="937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K3" s="12"/>
      <c r="AL3" s="143"/>
      <c r="AM3" s="143"/>
      <c r="AN3" s="143"/>
    </row>
    <row r="4" spans="2:53" ht="50.25" customHeight="1" x14ac:dyDescent="0.3">
      <c r="B4" s="15"/>
      <c r="C4" s="985" t="s">
        <v>34</v>
      </c>
      <c r="D4" s="985"/>
      <c r="E4" s="985"/>
      <c r="F4" s="985"/>
      <c r="G4" s="985"/>
      <c r="H4" s="98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36"/>
      <c r="AD4" s="36"/>
      <c r="AE4" s="11"/>
      <c r="AF4" s="11"/>
      <c r="AG4" s="11"/>
      <c r="AH4" s="11"/>
      <c r="AK4" s="12"/>
      <c r="AL4" s="143"/>
      <c r="AM4" s="143"/>
      <c r="AN4" s="143"/>
    </row>
    <row r="5" spans="2:53" ht="38.25" customHeight="1" thickBot="1" x14ac:dyDescent="0.35">
      <c r="B5" s="15"/>
      <c r="C5" s="986" t="s">
        <v>35</v>
      </c>
      <c r="D5" s="986"/>
      <c r="E5" s="986"/>
      <c r="F5" s="58"/>
      <c r="G5" s="58"/>
      <c r="H5" s="58"/>
      <c r="I5" s="11"/>
      <c r="J5" s="11"/>
      <c r="K5" s="11"/>
      <c r="L5" s="11"/>
      <c r="M5" s="11"/>
      <c r="N5" s="11"/>
      <c r="O5" s="11"/>
      <c r="AK5" s="12"/>
    </row>
    <row r="6" spans="2:53" s="63" customFormat="1" ht="15" thickBot="1" x14ac:dyDescent="0.35">
      <c r="B6" s="59"/>
      <c r="C6" s="60"/>
      <c r="D6" s="61"/>
      <c r="E6" s="61"/>
      <c r="F6" s="61"/>
      <c r="G6" s="61"/>
      <c r="H6" s="61"/>
      <c r="I6" s="982" t="s">
        <v>12</v>
      </c>
      <c r="J6" s="983"/>
      <c r="K6" s="983"/>
      <c r="L6" s="983"/>
      <c r="M6" s="983"/>
      <c r="N6" s="983"/>
      <c r="O6" s="983"/>
      <c r="P6" s="984"/>
      <c r="Q6" s="982" t="s">
        <v>15</v>
      </c>
      <c r="R6" s="983"/>
      <c r="S6" s="983"/>
      <c r="T6" s="983"/>
      <c r="U6" s="983"/>
      <c r="V6" s="983"/>
      <c r="W6" s="983"/>
      <c r="X6" s="983"/>
      <c r="Y6" s="983"/>
      <c r="Z6" s="983"/>
      <c r="AA6" s="983"/>
      <c r="AB6" s="983"/>
      <c r="AC6" s="983"/>
      <c r="AD6" s="983"/>
      <c r="AE6" s="984"/>
      <c r="AF6" s="968" t="s">
        <v>0</v>
      </c>
      <c r="AG6" s="969"/>
      <c r="AH6" s="969"/>
      <c r="AI6" s="969"/>
      <c r="AJ6" s="970"/>
      <c r="AK6" s="12"/>
      <c r="AL6" s="3"/>
    </row>
    <row r="7" spans="2:53" s="76" customFormat="1" ht="48.6" thickBot="1" x14ac:dyDescent="0.35">
      <c r="B7" s="64"/>
      <c r="C7" s="65"/>
      <c r="D7" s="66"/>
      <c r="E7" s="66"/>
      <c r="F7" s="66"/>
      <c r="G7" s="142" t="s">
        <v>96</v>
      </c>
      <c r="H7" s="68" t="s">
        <v>14</v>
      </c>
      <c r="I7" s="979" t="s">
        <v>427</v>
      </c>
      <c r="J7" s="980"/>
      <c r="K7" s="980"/>
      <c r="L7" s="980"/>
      <c r="M7" s="980"/>
      <c r="N7" s="980"/>
      <c r="O7" s="69" t="s">
        <v>207</v>
      </c>
      <c r="P7" s="797" t="s">
        <v>175</v>
      </c>
      <c r="Q7" s="979" t="s">
        <v>180</v>
      </c>
      <c r="R7" s="980"/>
      <c r="S7" s="980"/>
      <c r="T7" s="980"/>
      <c r="U7" s="980"/>
      <c r="V7" s="980"/>
      <c r="W7" s="797" t="s">
        <v>118</v>
      </c>
      <c r="X7" s="612" t="s">
        <v>2</v>
      </c>
      <c r="Y7" s="981" t="s">
        <v>3</v>
      </c>
      <c r="Z7" s="981"/>
      <c r="AA7" s="612" t="s">
        <v>182</v>
      </c>
      <c r="AB7" s="71" t="s">
        <v>183</v>
      </c>
      <c r="AC7" s="71" t="s">
        <v>119</v>
      </c>
      <c r="AD7" s="814" t="s">
        <v>187</v>
      </c>
      <c r="AE7" s="795" t="s">
        <v>188</v>
      </c>
      <c r="AF7" s="75" t="s">
        <v>194</v>
      </c>
      <c r="AG7" s="72" t="s">
        <v>142</v>
      </c>
      <c r="AH7" s="612" t="s">
        <v>245</v>
      </c>
      <c r="AI7" s="612" t="s">
        <v>50</v>
      </c>
      <c r="AJ7" s="795" t="s">
        <v>1</v>
      </c>
      <c r="AK7" s="62"/>
      <c r="AO7" s="66"/>
      <c r="AV7" s="66"/>
      <c r="AW7" s="66"/>
      <c r="AX7" s="66"/>
      <c r="AY7" s="66"/>
      <c r="AZ7" s="66"/>
      <c r="BA7" s="66"/>
    </row>
    <row r="8" spans="2:53" s="76" customFormat="1" ht="63" customHeight="1" thickBot="1" x14ac:dyDescent="0.35">
      <c r="B8" s="64"/>
      <c r="C8" s="148" t="s">
        <v>10</v>
      </c>
      <c r="D8" s="149" t="s">
        <v>11</v>
      </c>
      <c r="E8" s="79" t="s">
        <v>238</v>
      </c>
      <c r="F8" s="149" t="s">
        <v>37</v>
      </c>
      <c r="G8" s="150" t="s">
        <v>189</v>
      </c>
      <c r="H8" s="151" t="s">
        <v>131</v>
      </c>
      <c r="I8" s="152" t="str">
        <f>'1. Identificação Ben. Oper.'!D50</f>
        <v>Energia Elétrica</v>
      </c>
      <c r="J8" s="153" t="str">
        <f>IF('1. Identificação Ben. Oper.'!E50="","",'1. Identificação Ben. Oper.'!E50)</f>
        <v>Gás Natural</v>
      </c>
      <c r="K8" s="153" t="str">
        <f>IF('1. Identificação Ben. Oper.'!F50="","",'1. Identificação Ben. Oper.'!F50)</f>
        <v/>
      </c>
      <c r="L8" s="153" t="str">
        <f>IF('1. Identificação Ben. Oper.'!G50="","",'1. Identificação Ben. Oper.'!G50)</f>
        <v/>
      </c>
      <c r="M8" s="153" t="str">
        <f>IF('1. Identificação Ben. Oper.'!H50="","",'1. Identificação Ben. Oper.'!H50)</f>
        <v/>
      </c>
      <c r="N8" s="153" t="s">
        <v>85</v>
      </c>
      <c r="O8" s="153" t="s">
        <v>4</v>
      </c>
      <c r="P8" s="153" t="s">
        <v>5</v>
      </c>
      <c r="Q8" s="152" t="str">
        <f t="shared" ref="Q8:V8" si="0">+I8</f>
        <v>Energia Elétrica</v>
      </c>
      <c r="R8" s="153" t="str">
        <f t="shared" si="0"/>
        <v>Gás Natural</v>
      </c>
      <c r="S8" s="153" t="str">
        <f t="shared" si="0"/>
        <v/>
      </c>
      <c r="T8" s="153" t="str">
        <f t="shared" si="0"/>
        <v/>
      </c>
      <c r="U8" s="153" t="str">
        <f t="shared" si="0"/>
        <v/>
      </c>
      <c r="V8" s="153" t="str">
        <f t="shared" si="0"/>
        <v>Total</v>
      </c>
      <c r="W8" s="153" t="s">
        <v>5</v>
      </c>
      <c r="X8" s="153" t="s">
        <v>6</v>
      </c>
      <c r="Y8" s="153" t="s">
        <v>181</v>
      </c>
      <c r="Z8" s="153" t="s">
        <v>4</v>
      </c>
      <c r="AA8" s="153" t="s">
        <v>7</v>
      </c>
      <c r="AB8" s="150" t="s">
        <v>5</v>
      </c>
      <c r="AC8" s="150" t="s">
        <v>116</v>
      </c>
      <c r="AD8" s="154" t="s">
        <v>186</v>
      </c>
      <c r="AE8" s="151" t="s">
        <v>120</v>
      </c>
      <c r="AF8" s="155" t="s">
        <v>116</v>
      </c>
      <c r="AG8" s="156" t="s">
        <v>116</v>
      </c>
      <c r="AH8" s="153" t="s">
        <v>195</v>
      </c>
      <c r="AI8" s="153" t="s">
        <v>116</v>
      </c>
      <c r="AJ8" s="812" t="s">
        <v>131</v>
      </c>
      <c r="AK8" s="62"/>
      <c r="AL8" s="144"/>
      <c r="AM8" s="144"/>
      <c r="AV8" s="37"/>
      <c r="AW8" s="66"/>
      <c r="AX8" s="66"/>
      <c r="AY8" s="66"/>
      <c r="AZ8" s="66"/>
    </row>
    <row r="9" spans="2:53" s="76" customFormat="1" ht="36.75" customHeight="1" x14ac:dyDescent="0.3">
      <c r="B9" s="64"/>
      <c r="C9" s="987" t="s">
        <v>48</v>
      </c>
      <c r="D9" s="988"/>
      <c r="E9" s="988"/>
      <c r="F9" s="988"/>
      <c r="G9" s="157"/>
      <c r="H9" s="157"/>
      <c r="I9" s="158"/>
      <c r="J9" s="157"/>
      <c r="K9" s="157"/>
      <c r="L9" s="157"/>
      <c r="M9" s="157"/>
      <c r="N9" s="157"/>
      <c r="O9" s="157"/>
      <c r="P9" s="159"/>
      <c r="Q9" s="158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8"/>
      <c r="AG9" s="157"/>
      <c r="AH9" s="157"/>
      <c r="AI9" s="157"/>
      <c r="AJ9" s="159"/>
      <c r="AK9" s="62"/>
      <c r="AL9" s="66"/>
      <c r="AM9" s="66"/>
      <c r="AU9" s="160"/>
      <c r="AV9" s="37"/>
      <c r="AW9" s="66"/>
      <c r="AX9" s="66"/>
      <c r="AY9" s="66"/>
      <c r="AZ9" s="66"/>
    </row>
    <row r="10" spans="2:53" ht="30" customHeight="1" x14ac:dyDescent="0.2">
      <c r="B10" s="15"/>
      <c r="C10" s="91">
        <v>1</v>
      </c>
      <c r="D10" s="633"/>
      <c r="E10" s="622"/>
      <c r="F10" s="634"/>
      <c r="G10" s="627"/>
      <c r="H10" s="92" t="str">
        <f>IF(F10="","",VLOOKUP(F10,'15. Valores-Padrão'!$C$3:$F$7,4,FALSE))</f>
        <v/>
      </c>
      <c r="I10" s="635"/>
      <c r="J10" s="627"/>
      <c r="K10" s="627"/>
      <c r="L10" s="627"/>
      <c r="M10" s="627"/>
      <c r="N10" s="93">
        <f>+SUM(I10:M10)</f>
        <v>0</v>
      </c>
      <c r="O10" s="94">
        <f>+VLOOKUP($I$8,'16. Fatores de conversão'!$A$6:$I$14,6,FALSE)*I10+VLOOKUP($J$8,'16. Fatores de conversão'!$A$6:$I$14,6,FALSE)*J10+VLOOKUP($K$8,'16. Fatores de conversão'!$A$6:$I$14,6,FALSE)*K10+VLOOKUP($L$8,'16. Fatores de conversão'!$A$6:$I$14,6,FALSE)*L10+VLOOKUP($M$8,'16. Fatores de conversão'!$A$6:$I$14,6,FALSE)*M10</f>
        <v>0</v>
      </c>
      <c r="P10" s="603">
        <f>+SUMPRODUCT('1. Identificação Ben. Oper.'!$D$56:$H$56,I10:M10)</f>
        <v>0</v>
      </c>
      <c r="Q10" s="636"/>
      <c r="R10" s="637"/>
      <c r="S10" s="637"/>
      <c r="T10" s="637"/>
      <c r="U10" s="637"/>
      <c r="V10" s="93">
        <f>+SUM(Q10:U10)</f>
        <v>0</v>
      </c>
      <c r="W10" s="603">
        <f>+SUMPRODUCT('1. Identificação Ben. Oper.'!$D$56:$H$56,Q10:U10)</f>
        <v>0</v>
      </c>
      <c r="X10" s="604">
        <f>IF(N10=0,0,V10/N10)</f>
        <v>0</v>
      </c>
      <c r="Y10" s="94">
        <f>+VLOOKUP($Q$8,'16. Fatores de conversão'!$A$6:$I$14,3,FALSE)*Q10+VLOOKUP($R$8,'16. Fatores de conversão'!$A$6:$I$14,3,FALSE)*R10+VLOOKUP($S$8,'16. Fatores de conversão'!$A$6:$I$14,3,FALSE)*S10+VLOOKUP($T$8,'16. Fatores de conversão'!$A$6:$I$14,3,FALSE)*T10+VLOOKUP($U$8,'16. Fatores de conversão'!$A$6:$I$14,3,FALSE)*U10</f>
        <v>0</v>
      </c>
      <c r="Z10" s="94">
        <f>+VLOOKUP($Q$8,'16. Fatores de conversão'!$A$6:$I$14,6,FALSE)*Q10+VLOOKUP($R$8,'16. Fatores de conversão'!$A$6:$I$14,6,FALSE)*R10+VLOOKUP($S$8,'16. Fatores de conversão'!$A$6:$I$14,6,FALSE)*S10+VLOOKUP($T$8,'16. Fatores de conversão'!$A$6:$I$14,6,FALSE)*T10+VLOOKUP($U$8,'16. Fatores de conversão'!$A$6:$I$14,6,FALSE)*U10</f>
        <v>0</v>
      </c>
      <c r="AA10" s="94">
        <f>(VLOOKUP($Q$8,'16. Fatores de conversão'!$A$6:$I$14,9,FALSE)*Q10+VLOOKUP($R$8,'16. Fatores de conversão'!$A$6:$I$14,9,FALSE)*R10+VLOOKUP($S$8,'16. Fatores de conversão'!$A$6:$I$14,9,FALSE)*S10+VLOOKUP($T$8,'16. Fatores de conversão'!$A$6:$I$14,9,FALSE)*T10+VLOOKUP($U$8,'16. Fatores de conversão'!$A$6:$I$14,9,FALSE)*U10)/1000</f>
        <v>0</v>
      </c>
      <c r="AB10" s="630"/>
      <c r="AC10" s="630"/>
      <c r="AD10" s="638"/>
      <c r="AE10" s="813">
        <f>IF(AC10="",0,IF(OR(AD10="",AD10=0),0,H10+1))</f>
        <v>0</v>
      </c>
      <c r="AF10" s="639"/>
      <c r="AG10" s="630" t="s">
        <v>434</v>
      </c>
      <c r="AH10" s="603" t="str">
        <f>IF(F10="","",VLOOKUP(F10,'15. Valores-Padrão'!$C$3:$E$7,3,FALSE)*G10)</f>
        <v/>
      </c>
      <c r="AI10" s="603">
        <f>IF(AF10=0,0,IF(AF10&lt;(AH10),AF10+AG10,((AH10)+((AG10/AF10)*AH10))))</f>
        <v>0</v>
      </c>
      <c r="AJ10" s="788">
        <f>IF(W10=0,0,(AF10+AG10)/W10)</f>
        <v>0</v>
      </c>
      <c r="AK10" s="12"/>
      <c r="AL10" s="144"/>
      <c r="AM10" s="144"/>
      <c r="AV10" s="37"/>
      <c r="AW10" s="66"/>
      <c r="AX10" s="66"/>
      <c r="AY10" s="66"/>
      <c r="AZ10" s="11"/>
    </row>
    <row r="11" spans="2:53" ht="30" customHeight="1" x14ac:dyDescent="0.2">
      <c r="B11" s="15"/>
      <c r="C11" s="91">
        <v>2</v>
      </c>
      <c r="D11" s="633"/>
      <c r="E11" s="622"/>
      <c r="F11" s="634"/>
      <c r="G11" s="627"/>
      <c r="H11" s="92" t="str">
        <f>IF(F11="","",VLOOKUP(F11,'15. Valores-Padrão'!$C$3:$F$7,4,FALSE))</f>
        <v/>
      </c>
      <c r="I11" s="635"/>
      <c r="J11" s="627"/>
      <c r="K11" s="627"/>
      <c r="L11" s="627"/>
      <c r="M11" s="627"/>
      <c r="N11" s="93">
        <f t="shared" ref="N11:N14" si="1">+SUM(I11:M11)</f>
        <v>0</v>
      </c>
      <c r="O11" s="94">
        <f>+VLOOKUP($I$8,'16. Fatores de conversão'!$A$6:$I$14,6,FALSE)*I11+VLOOKUP($J$8,'16. Fatores de conversão'!$A$6:$I$14,6,FALSE)*J11+VLOOKUP($K$8,'16. Fatores de conversão'!$A$6:$I$14,6,FALSE)*K11+VLOOKUP($L$8,'16. Fatores de conversão'!$A$6:$I$14,6,FALSE)*L11+VLOOKUP($M$8,'16. Fatores de conversão'!$A$6:$I$14,6,FALSE)*M11</f>
        <v>0</v>
      </c>
      <c r="P11" s="603">
        <f>+SUMPRODUCT('1. Identificação Ben. Oper.'!$D$56:$H$56,I11:M11)</f>
        <v>0</v>
      </c>
      <c r="Q11" s="636"/>
      <c r="R11" s="637"/>
      <c r="S11" s="637"/>
      <c r="T11" s="637"/>
      <c r="U11" s="637"/>
      <c r="V11" s="93">
        <f t="shared" ref="V11:V14" si="2">+SUM(Q11:U11)</f>
        <v>0</v>
      </c>
      <c r="W11" s="603">
        <f>+SUMPRODUCT('1. Identificação Ben. Oper.'!$D$56:$H$56,Q11:U11)</f>
        <v>0</v>
      </c>
      <c r="X11" s="604">
        <f>IF(N11=0,0,V11/N11)</f>
        <v>0</v>
      </c>
      <c r="Y11" s="94">
        <f>+VLOOKUP($Q$8,'16. Fatores de conversão'!$A$6:$I$14,3,FALSE)*Q11+VLOOKUP($R$8,'16. Fatores de conversão'!$A$6:$I$14,3,FALSE)*R11+VLOOKUP($S$8,'16. Fatores de conversão'!$A$6:$I$14,3,FALSE)*S11+VLOOKUP($T$8,'16. Fatores de conversão'!$A$6:$I$14,3,FALSE)*T11+VLOOKUP($U$8,'16. Fatores de conversão'!$A$6:$I$14,3,FALSE)*U11</f>
        <v>0</v>
      </c>
      <c r="Z11" s="94">
        <f>+VLOOKUP($Q$8,'16. Fatores de conversão'!$A$6:$I$14,6,FALSE)*Q11+VLOOKUP($R$8,'16. Fatores de conversão'!$A$6:$I$14,6,FALSE)*R11+VLOOKUP($S$8,'16. Fatores de conversão'!$A$6:$I$14,6,FALSE)*S11+VLOOKUP($T$8,'16. Fatores de conversão'!$A$6:$I$14,6,FALSE)*T11+VLOOKUP($U$8,'16. Fatores de conversão'!$A$6:$I$14,6,FALSE)*U11</f>
        <v>0</v>
      </c>
      <c r="AA11" s="94">
        <f>(VLOOKUP($Q$8,'16. Fatores de conversão'!$A$6:$I$14,9,FALSE)*Q11+VLOOKUP($R$8,'16. Fatores de conversão'!$A$6:$I$14,9,FALSE)*R11+VLOOKUP($S$8,'16. Fatores de conversão'!$A$6:$I$14,9,FALSE)*S11+VLOOKUP($T$8,'16. Fatores de conversão'!$A$6:$I$14,9,FALSE)*T11+VLOOKUP($U$8,'16. Fatores de conversão'!$A$6:$I$14,9,FALSE)*U11)/1000</f>
        <v>0</v>
      </c>
      <c r="AB11" s="630"/>
      <c r="AC11" s="630"/>
      <c r="AD11" s="638"/>
      <c r="AE11" s="813">
        <f t="shared" ref="AE11:AE18" si="3">IF(AC11="",0,IF(OR(AD11="",AD11=0),0,H11+1))</f>
        <v>0</v>
      </c>
      <c r="AF11" s="640"/>
      <c r="AG11" s="630"/>
      <c r="AH11" s="603" t="str">
        <f>IF(F11="","",VLOOKUP(F11,'15. Valores-Padrão'!$C$3:$E$7,3,FALSE)*G11)</f>
        <v/>
      </c>
      <c r="AI11" s="603">
        <f t="shared" ref="AI11:AI18" si="4">IF(AF11=0,0,IF(AF11&lt;(AH11),AF11+AG11,((AH11)+((AG11/AF11)*AH11))))</f>
        <v>0</v>
      </c>
      <c r="AJ11" s="788">
        <f t="shared" ref="AJ11:AJ21" si="5">IF(W11=0,0,(AF11+AG11)/W11)</f>
        <v>0</v>
      </c>
      <c r="AK11" s="12"/>
      <c r="AL11" s="144"/>
      <c r="AM11" s="144"/>
      <c r="AV11" s="37"/>
      <c r="AW11" s="66"/>
      <c r="AX11" s="66"/>
      <c r="AY11" s="66"/>
      <c r="AZ11" s="11"/>
    </row>
    <row r="12" spans="2:53" ht="30" customHeight="1" x14ac:dyDescent="0.3">
      <c r="B12" s="15"/>
      <c r="C12" s="91">
        <v>3</v>
      </c>
      <c r="D12" s="633"/>
      <c r="E12" s="622"/>
      <c r="F12" s="634"/>
      <c r="G12" s="627"/>
      <c r="H12" s="92" t="str">
        <f>IF(F12="","",VLOOKUP(F12,'15. Valores-Padrão'!$C$3:$F$7,4,FALSE))</f>
        <v/>
      </c>
      <c r="I12" s="635"/>
      <c r="J12" s="627"/>
      <c r="K12" s="627"/>
      <c r="L12" s="627"/>
      <c r="M12" s="627"/>
      <c r="N12" s="93">
        <f t="shared" si="1"/>
        <v>0</v>
      </c>
      <c r="O12" s="94">
        <f>+VLOOKUP($I$8,'16. Fatores de conversão'!$A$6:$I$14,6,FALSE)*I12+VLOOKUP($J$8,'16. Fatores de conversão'!$A$6:$I$14,6,FALSE)*J12+VLOOKUP($K$8,'16. Fatores de conversão'!$A$6:$I$14,6,FALSE)*K12+VLOOKUP($L$8,'16. Fatores de conversão'!$A$6:$I$14,6,FALSE)*L12+VLOOKUP($M$8,'16. Fatores de conversão'!$A$6:$I$14,6,FALSE)*M12</f>
        <v>0</v>
      </c>
      <c r="P12" s="603">
        <f>+SUMPRODUCT('1. Identificação Ben. Oper.'!$D$56:$H$56,I12:M12)</f>
        <v>0</v>
      </c>
      <c r="Q12" s="636"/>
      <c r="R12" s="637"/>
      <c r="S12" s="637"/>
      <c r="T12" s="637"/>
      <c r="U12" s="637"/>
      <c r="V12" s="93">
        <f t="shared" si="2"/>
        <v>0</v>
      </c>
      <c r="W12" s="603">
        <f>+SUMPRODUCT('1. Identificação Ben. Oper.'!$D$56:$H$56,Q12:U12)</f>
        <v>0</v>
      </c>
      <c r="X12" s="604">
        <f>IF(N12=0,0,V12/N12)</f>
        <v>0</v>
      </c>
      <c r="Y12" s="94">
        <f>+VLOOKUP($Q$8,'16. Fatores de conversão'!$A$6:$I$14,3,FALSE)*Q12+VLOOKUP($R$8,'16. Fatores de conversão'!$A$6:$I$14,3,FALSE)*R12+VLOOKUP($S$8,'16. Fatores de conversão'!$A$6:$I$14,3,FALSE)*S12+VLOOKUP($T$8,'16. Fatores de conversão'!$A$6:$I$14,3,FALSE)*T12+VLOOKUP($U$8,'16. Fatores de conversão'!$A$6:$I$14,3,FALSE)*U12</f>
        <v>0</v>
      </c>
      <c r="Z12" s="94">
        <f>+VLOOKUP($Q$8,'16. Fatores de conversão'!$A$6:$I$14,6,FALSE)*Q12+VLOOKUP($R$8,'16. Fatores de conversão'!$A$6:$I$14,6,FALSE)*R12+VLOOKUP($S$8,'16. Fatores de conversão'!$A$6:$I$14,6,FALSE)*S12+VLOOKUP($T$8,'16. Fatores de conversão'!$A$6:$I$14,6,FALSE)*T12+VLOOKUP($U$8,'16. Fatores de conversão'!$A$6:$I$14,6,FALSE)*U12</f>
        <v>0</v>
      </c>
      <c r="AA12" s="94">
        <f>(VLOOKUP($Q$8,'16. Fatores de conversão'!$A$6:$I$14,9,FALSE)*Q12+VLOOKUP($R$8,'16. Fatores de conversão'!$A$6:$I$14,9,FALSE)*R12+VLOOKUP($S$8,'16. Fatores de conversão'!$A$6:$I$14,9,FALSE)*S12+VLOOKUP($T$8,'16. Fatores de conversão'!$A$6:$I$14,9,FALSE)*T12+VLOOKUP($U$8,'16. Fatores de conversão'!$A$6:$I$14,9,FALSE)*U12)/1000</f>
        <v>0</v>
      </c>
      <c r="AB12" s="630"/>
      <c r="AC12" s="630"/>
      <c r="AD12" s="638"/>
      <c r="AE12" s="813">
        <f t="shared" si="3"/>
        <v>0</v>
      </c>
      <c r="AF12" s="640"/>
      <c r="AG12" s="630"/>
      <c r="AH12" s="603" t="str">
        <f>IF(F12="","",VLOOKUP(F12,'15. Valores-Padrão'!$C$3:$E$7,3,FALSE)*G12)</f>
        <v/>
      </c>
      <c r="AI12" s="603">
        <f t="shared" si="4"/>
        <v>0</v>
      </c>
      <c r="AJ12" s="788">
        <f t="shared" si="5"/>
        <v>0</v>
      </c>
      <c r="AK12" s="12"/>
      <c r="AL12" s="144"/>
      <c r="AM12" s="144"/>
      <c r="AV12" s="37"/>
      <c r="AW12" s="66"/>
      <c r="AX12" s="66"/>
      <c r="AY12" s="66"/>
      <c r="AZ12" s="11"/>
    </row>
    <row r="13" spans="2:53" ht="30" customHeight="1" x14ac:dyDescent="0.3">
      <c r="B13" s="15"/>
      <c r="C13" s="91">
        <v>4</v>
      </c>
      <c r="D13" s="633"/>
      <c r="E13" s="622"/>
      <c r="F13" s="634"/>
      <c r="G13" s="627"/>
      <c r="H13" s="92" t="str">
        <f>IF(F13="","",VLOOKUP(F13,'15. Valores-Padrão'!$C$3:$F$7,4,FALSE))</f>
        <v/>
      </c>
      <c r="I13" s="635"/>
      <c r="J13" s="627"/>
      <c r="K13" s="627"/>
      <c r="L13" s="627"/>
      <c r="M13" s="627"/>
      <c r="N13" s="93">
        <f t="shared" si="1"/>
        <v>0</v>
      </c>
      <c r="O13" s="94">
        <f>+VLOOKUP($I$8,'16. Fatores de conversão'!$A$6:$I$14,6,FALSE)*I13+VLOOKUP($J$8,'16. Fatores de conversão'!$A$6:$I$14,6,FALSE)*J13+VLOOKUP($K$8,'16. Fatores de conversão'!$A$6:$I$14,6,FALSE)*K13+VLOOKUP($L$8,'16. Fatores de conversão'!$A$6:$I$14,6,FALSE)*L13+VLOOKUP($M$8,'16. Fatores de conversão'!$A$6:$I$14,6,FALSE)*M13</f>
        <v>0</v>
      </c>
      <c r="P13" s="603">
        <f>+SUMPRODUCT('1. Identificação Ben. Oper.'!$D$56:$H$56,I13:M13)</f>
        <v>0</v>
      </c>
      <c r="Q13" s="636"/>
      <c r="R13" s="637"/>
      <c r="S13" s="637"/>
      <c r="T13" s="637"/>
      <c r="U13" s="637"/>
      <c r="V13" s="93">
        <f t="shared" si="2"/>
        <v>0</v>
      </c>
      <c r="W13" s="603">
        <f>+SUMPRODUCT('1. Identificação Ben. Oper.'!$D$56:$H$56,Q13:U13)</f>
        <v>0</v>
      </c>
      <c r="X13" s="604">
        <f>IF(N13=0,0,V13/N13)</f>
        <v>0</v>
      </c>
      <c r="Y13" s="94">
        <f>+VLOOKUP($Q$8,'16. Fatores de conversão'!$A$6:$I$14,3,FALSE)*Q13+VLOOKUP($R$8,'16. Fatores de conversão'!$A$6:$I$14,3,FALSE)*R13+VLOOKUP($S$8,'16. Fatores de conversão'!$A$6:$I$14,3,FALSE)*S13+VLOOKUP($T$8,'16. Fatores de conversão'!$A$6:$I$14,3,FALSE)*T13+VLOOKUP($U$8,'16. Fatores de conversão'!$A$6:$I$14,3,FALSE)*U13</f>
        <v>0</v>
      </c>
      <c r="Z13" s="94">
        <f>+VLOOKUP($Q$8,'16. Fatores de conversão'!$A$6:$I$14,6,FALSE)*Q13+VLOOKUP($R$8,'16. Fatores de conversão'!$A$6:$I$14,6,FALSE)*R13+VLOOKUP($S$8,'16. Fatores de conversão'!$A$6:$I$14,6,FALSE)*S13+VLOOKUP($T$8,'16. Fatores de conversão'!$A$6:$I$14,6,FALSE)*T13+VLOOKUP($U$8,'16. Fatores de conversão'!$A$6:$I$14,6,FALSE)*U13</f>
        <v>0</v>
      </c>
      <c r="AA13" s="94">
        <f>(VLOOKUP($Q$8,'16. Fatores de conversão'!$A$6:$I$14,9,FALSE)*Q13+VLOOKUP($R$8,'16. Fatores de conversão'!$A$6:$I$14,9,FALSE)*R13+VLOOKUP($S$8,'16. Fatores de conversão'!$A$6:$I$14,9,FALSE)*S13+VLOOKUP($T$8,'16. Fatores de conversão'!$A$6:$I$14,9,FALSE)*T13+VLOOKUP($U$8,'16. Fatores de conversão'!$A$6:$I$14,9,FALSE)*U13)/1000</f>
        <v>0</v>
      </c>
      <c r="AB13" s="630"/>
      <c r="AC13" s="630"/>
      <c r="AD13" s="638"/>
      <c r="AE13" s="813">
        <f t="shared" si="3"/>
        <v>0</v>
      </c>
      <c r="AF13" s="640"/>
      <c r="AG13" s="630"/>
      <c r="AH13" s="603" t="str">
        <f>IF(F13="","",VLOOKUP(F13,'15. Valores-Padrão'!$C$3:$E$7,3,FALSE)*G13)</f>
        <v/>
      </c>
      <c r="AI13" s="603">
        <f t="shared" si="4"/>
        <v>0</v>
      </c>
      <c r="AJ13" s="788">
        <f t="shared" si="5"/>
        <v>0</v>
      </c>
      <c r="AK13" s="12"/>
      <c r="AL13" s="144"/>
      <c r="AM13" s="144"/>
      <c r="AV13" s="95"/>
      <c r="AW13" s="66"/>
      <c r="AX13" s="66"/>
      <c r="AY13" s="66"/>
      <c r="AZ13" s="11"/>
    </row>
    <row r="14" spans="2:53" ht="30" customHeight="1" x14ac:dyDescent="0.3">
      <c r="B14" s="15"/>
      <c r="C14" s="91">
        <v>5</v>
      </c>
      <c r="D14" s="633"/>
      <c r="E14" s="622"/>
      <c r="F14" s="634"/>
      <c r="G14" s="627"/>
      <c r="H14" s="92" t="str">
        <f>IF(F14="","",VLOOKUP(F14,'15. Valores-Padrão'!$C$3:$F$7,4,FALSE))</f>
        <v/>
      </c>
      <c r="I14" s="635"/>
      <c r="J14" s="627"/>
      <c r="K14" s="627"/>
      <c r="L14" s="627"/>
      <c r="M14" s="627"/>
      <c r="N14" s="93">
        <f t="shared" si="1"/>
        <v>0</v>
      </c>
      <c r="O14" s="94">
        <f>+VLOOKUP($I$8,'16. Fatores de conversão'!$A$6:$I$14,6,FALSE)*I14+VLOOKUP($J$8,'16. Fatores de conversão'!$A$6:$I$14,6,FALSE)*J14+VLOOKUP($K$8,'16. Fatores de conversão'!$A$6:$I$14,6,FALSE)*K14+VLOOKUP($L$8,'16. Fatores de conversão'!$A$6:$I$14,6,FALSE)*L14+VLOOKUP($M$8,'16. Fatores de conversão'!$A$6:$I$14,6,FALSE)*M14</f>
        <v>0</v>
      </c>
      <c r="P14" s="603">
        <f>+SUMPRODUCT('1. Identificação Ben. Oper.'!$D$56:$H$56,I14:M14)</f>
        <v>0</v>
      </c>
      <c r="Q14" s="636"/>
      <c r="R14" s="637"/>
      <c r="S14" s="637"/>
      <c r="T14" s="637"/>
      <c r="U14" s="637"/>
      <c r="V14" s="93">
        <f t="shared" si="2"/>
        <v>0</v>
      </c>
      <c r="W14" s="603">
        <f>+SUMPRODUCT('1. Identificação Ben. Oper.'!$D$56:$H$56,Q14:U14)</f>
        <v>0</v>
      </c>
      <c r="X14" s="604">
        <f>IF(N14=0,0,V14/N14)</f>
        <v>0</v>
      </c>
      <c r="Y14" s="94">
        <f>+VLOOKUP($Q$8,'16. Fatores de conversão'!$A$6:$I$14,3,FALSE)*Q14+VLOOKUP($R$8,'16. Fatores de conversão'!$A$6:$I$14,3,FALSE)*R14+VLOOKUP($S$8,'16. Fatores de conversão'!$A$6:$I$14,3,FALSE)*S14+VLOOKUP($T$8,'16. Fatores de conversão'!$A$6:$I$14,3,FALSE)*T14+VLOOKUP($U$8,'16. Fatores de conversão'!$A$6:$I$14,3,FALSE)*U14</f>
        <v>0</v>
      </c>
      <c r="Z14" s="94">
        <f>+VLOOKUP($Q$8,'16. Fatores de conversão'!$A$6:$I$14,6,FALSE)*Q14+VLOOKUP($R$8,'16. Fatores de conversão'!$A$6:$I$14,6,FALSE)*R14+VLOOKUP($S$8,'16. Fatores de conversão'!$A$6:$I$14,6,FALSE)*S14+VLOOKUP($T$8,'16. Fatores de conversão'!$A$6:$I$14,6,FALSE)*T14+VLOOKUP($U$8,'16. Fatores de conversão'!$A$6:$I$14,6,FALSE)*U14</f>
        <v>0</v>
      </c>
      <c r="AA14" s="94">
        <f>(VLOOKUP($Q$8,'16. Fatores de conversão'!$A$6:$I$14,9,FALSE)*Q14+VLOOKUP($R$8,'16. Fatores de conversão'!$A$6:$I$14,9,FALSE)*R14+VLOOKUP($S$8,'16. Fatores de conversão'!$A$6:$I$14,9,FALSE)*S14+VLOOKUP($T$8,'16. Fatores de conversão'!$A$6:$I$14,9,FALSE)*T14+VLOOKUP($U$8,'16. Fatores de conversão'!$A$6:$I$14,9,FALSE)*U14)/1000</f>
        <v>0</v>
      </c>
      <c r="AB14" s="630"/>
      <c r="AC14" s="630"/>
      <c r="AD14" s="638"/>
      <c r="AE14" s="813">
        <f t="shared" si="3"/>
        <v>0</v>
      </c>
      <c r="AF14" s="640"/>
      <c r="AG14" s="630"/>
      <c r="AH14" s="603" t="str">
        <f>IF(F14="","",VLOOKUP(F14,'15. Valores-Padrão'!$C$3:$E$7,3,FALSE)*G14)</f>
        <v/>
      </c>
      <c r="AI14" s="603">
        <f t="shared" si="4"/>
        <v>0</v>
      </c>
      <c r="AJ14" s="788">
        <f t="shared" si="5"/>
        <v>0</v>
      </c>
      <c r="AK14" s="12"/>
      <c r="AL14" s="144"/>
      <c r="AM14" s="144"/>
      <c r="AV14" s="95"/>
      <c r="AW14" s="66"/>
      <c r="AX14" s="66"/>
      <c r="AY14" s="66"/>
      <c r="AZ14" s="11"/>
    </row>
    <row r="15" spans="2:53" ht="35.1" customHeight="1" x14ac:dyDescent="0.3">
      <c r="B15" s="15"/>
      <c r="C15" s="989" t="s">
        <v>49</v>
      </c>
      <c r="D15" s="990"/>
      <c r="E15" s="990"/>
      <c r="F15" s="990"/>
      <c r="G15" s="88"/>
      <c r="H15" s="88"/>
      <c r="I15" s="413"/>
      <c r="J15" s="369"/>
      <c r="K15" s="369"/>
      <c r="L15" s="369"/>
      <c r="M15" s="369"/>
      <c r="N15" s="88"/>
      <c r="O15" s="88"/>
      <c r="P15" s="90"/>
      <c r="Q15" s="413"/>
      <c r="R15" s="369"/>
      <c r="S15" s="369"/>
      <c r="T15" s="369"/>
      <c r="U15" s="369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9"/>
      <c r="AG15" s="88"/>
      <c r="AH15" s="96"/>
      <c r="AI15" s="88"/>
      <c r="AJ15" s="90"/>
      <c r="AK15" s="12"/>
      <c r="AL15" s="36"/>
      <c r="AM15" s="36"/>
      <c r="AV15" s="95"/>
      <c r="AW15" s="66"/>
      <c r="AX15" s="66"/>
      <c r="AY15" s="66"/>
      <c r="AZ15" s="11"/>
    </row>
    <row r="16" spans="2:53" ht="30" customHeight="1" x14ac:dyDescent="0.3">
      <c r="B16" s="15"/>
      <c r="C16" s="91">
        <v>6</v>
      </c>
      <c r="D16" s="633"/>
      <c r="E16" s="622"/>
      <c r="F16" s="634"/>
      <c r="G16" s="627"/>
      <c r="H16" s="644"/>
      <c r="I16" s="635"/>
      <c r="J16" s="627"/>
      <c r="K16" s="627"/>
      <c r="L16" s="627"/>
      <c r="M16" s="627"/>
      <c r="N16" s="93">
        <f>+SUM(I16:M16)</f>
        <v>0</v>
      </c>
      <c r="O16" s="94">
        <f>+VLOOKUP($I$8,'16. Fatores de conversão'!$A$6:$I$14,6,FALSE)*I16+VLOOKUP($J$8,'16. Fatores de conversão'!$A$6:$I$14,6,FALSE)*J16+VLOOKUP($K$8,'16. Fatores de conversão'!$A$6:$I$14,6,FALSE)*K16+VLOOKUP($L$8,'16. Fatores de conversão'!$A$6:$I$14,6,FALSE)*L16+VLOOKUP($M$8,'16. Fatores de conversão'!$A$6:$I$14,6,FALSE)*M16</f>
        <v>0</v>
      </c>
      <c r="P16" s="603">
        <f>+SUMPRODUCT('1. Identificação Ben. Oper.'!$D$56:$H$56,I16:M16)</f>
        <v>0</v>
      </c>
      <c r="Q16" s="636"/>
      <c r="R16" s="637"/>
      <c r="S16" s="637"/>
      <c r="T16" s="637"/>
      <c r="U16" s="637"/>
      <c r="V16" s="93">
        <f>+SUM(Q16:U16)</f>
        <v>0</v>
      </c>
      <c r="W16" s="603">
        <f>+SUMPRODUCT('1. Identificação Ben. Oper.'!$D$56:$H$56,Q16:U16)</f>
        <v>0</v>
      </c>
      <c r="X16" s="604">
        <f t="shared" ref="X16:X21" si="6">IF(N16=0,0,V16/N16)</f>
        <v>0</v>
      </c>
      <c r="Y16" s="94">
        <f>+VLOOKUP($Q$8,'16. Fatores de conversão'!$A$6:$I$14,3,FALSE)*Q16+VLOOKUP($R$8,'16. Fatores de conversão'!$A$6:$I$14,3,FALSE)*R16+VLOOKUP($S$8,'16. Fatores de conversão'!$A$6:$I$14,3,FALSE)*S16+VLOOKUP($T$8,'16. Fatores de conversão'!$A$6:$I$14,3,FALSE)*T16+VLOOKUP($U$8,'16. Fatores de conversão'!$A$6:$I$14,3,FALSE)*U16</f>
        <v>0</v>
      </c>
      <c r="Z16" s="94">
        <f>+VLOOKUP($Q$8,'16. Fatores de conversão'!$A$6:$I$14,6,FALSE)*Q16+VLOOKUP($R$8,'16. Fatores de conversão'!$A$6:$I$14,6,FALSE)*R16+VLOOKUP($S$8,'16. Fatores de conversão'!$A$6:$I$14,6,FALSE)*S16+VLOOKUP($T$8,'16. Fatores de conversão'!$A$6:$I$14,6,FALSE)*T16+VLOOKUP($U$8,'16. Fatores de conversão'!$A$6:$I$14,6,FALSE)*U16</f>
        <v>0</v>
      </c>
      <c r="AA16" s="94">
        <f>(VLOOKUP($Q$8,'16. Fatores de conversão'!$A$6:$I$14,9,FALSE)*Q16+VLOOKUP($R$8,'16. Fatores de conversão'!$A$6:$I$14,9,FALSE)*R16+VLOOKUP($S$8,'16. Fatores de conversão'!$A$6:$I$14,9,FALSE)*S16+VLOOKUP($T$8,'16. Fatores de conversão'!$A$6:$I$14,9,FALSE)*T16+VLOOKUP($U$8,'16. Fatores de conversão'!$A$6:$I$14,9,FALSE)*U16)/1000</f>
        <v>0</v>
      </c>
      <c r="AB16" s="630"/>
      <c r="AC16" s="630"/>
      <c r="AD16" s="638"/>
      <c r="AE16" s="813">
        <f t="shared" si="3"/>
        <v>0</v>
      </c>
      <c r="AF16" s="640"/>
      <c r="AG16" s="641"/>
      <c r="AH16" s="830" t="s">
        <v>196</v>
      </c>
      <c r="AI16" s="603">
        <f>IF(AF16=0,0,IF(AF16&lt;(AH16),AF16+AG16,((AH16)+((AG16/AF16)*AH16))))</f>
        <v>0</v>
      </c>
      <c r="AJ16" s="788">
        <f t="shared" si="5"/>
        <v>0</v>
      </c>
      <c r="AK16" s="12"/>
      <c r="AL16" s="144"/>
      <c r="AM16" s="144"/>
      <c r="AV16" s="95"/>
      <c r="AW16" s="66"/>
      <c r="AX16" s="66"/>
      <c r="AY16" s="66"/>
      <c r="AZ16" s="11"/>
    </row>
    <row r="17" spans="2:52" ht="30" customHeight="1" x14ac:dyDescent="0.3">
      <c r="B17" s="15"/>
      <c r="C17" s="91">
        <v>7</v>
      </c>
      <c r="D17" s="633"/>
      <c r="E17" s="622"/>
      <c r="F17" s="634"/>
      <c r="G17" s="627"/>
      <c r="H17" s="644"/>
      <c r="I17" s="635"/>
      <c r="J17" s="627"/>
      <c r="K17" s="627"/>
      <c r="L17" s="627"/>
      <c r="M17" s="627"/>
      <c r="N17" s="93">
        <f t="shared" ref="N17:N18" si="7">+SUM(I17:M17)</f>
        <v>0</v>
      </c>
      <c r="O17" s="94">
        <f>+VLOOKUP($I$8,'16. Fatores de conversão'!$A$6:$I$14,6,FALSE)*I17+VLOOKUP($J$8,'16. Fatores de conversão'!$A$6:$I$14,6,FALSE)*J17+VLOOKUP($K$8,'16. Fatores de conversão'!$A$6:$I$14,6,FALSE)*K17+VLOOKUP($L$8,'16. Fatores de conversão'!$A$6:$I$14,6,FALSE)*L17+VLOOKUP($M$8,'16. Fatores de conversão'!$A$6:$I$14,6,FALSE)*M17</f>
        <v>0</v>
      </c>
      <c r="P17" s="603">
        <f>+SUMPRODUCT('1. Identificação Ben. Oper.'!$D$56:$H$56,I17:M17)</f>
        <v>0</v>
      </c>
      <c r="Q17" s="636"/>
      <c r="R17" s="637"/>
      <c r="S17" s="637"/>
      <c r="T17" s="637"/>
      <c r="U17" s="637"/>
      <c r="V17" s="93">
        <f t="shared" ref="V17:V18" si="8">+SUM(Q17:U17)</f>
        <v>0</v>
      </c>
      <c r="W17" s="603">
        <f>+SUMPRODUCT('1. Identificação Ben. Oper.'!$D$56:$H$56,Q17:U17)</f>
        <v>0</v>
      </c>
      <c r="X17" s="604">
        <f t="shared" si="6"/>
        <v>0</v>
      </c>
      <c r="Y17" s="94">
        <f>+VLOOKUP($Q$8,'16. Fatores de conversão'!$A$6:$I$14,3,FALSE)*Q17+VLOOKUP($R$8,'16. Fatores de conversão'!$A$6:$I$14,3,FALSE)*R17+VLOOKUP($S$8,'16. Fatores de conversão'!$A$6:$I$14,3,FALSE)*S17+VLOOKUP($T$8,'16. Fatores de conversão'!$A$6:$I$14,3,FALSE)*T17+VLOOKUP($U$8,'16. Fatores de conversão'!$A$6:$I$14,3,FALSE)*U17</f>
        <v>0</v>
      </c>
      <c r="Z17" s="94">
        <f>+VLOOKUP($Q$8,'16. Fatores de conversão'!$A$6:$I$14,6,FALSE)*Q17+VLOOKUP($R$8,'16. Fatores de conversão'!$A$6:$I$14,6,FALSE)*R17+VLOOKUP($S$8,'16. Fatores de conversão'!$A$6:$I$14,6,FALSE)*S17+VLOOKUP($T$8,'16. Fatores de conversão'!$A$6:$I$14,6,FALSE)*T17+VLOOKUP($U$8,'16. Fatores de conversão'!$A$6:$I$14,6,FALSE)*U17</f>
        <v>0</v>
      </c>
      <c r="AA17" s="94">
        <f>(VLOOKUP($Q$8,'16. Fatores de conversão'!$A$6:$I$14,9,FALSE)*Q17+VLOOKUP($R$8,'16. Fatores de conversão'!$A$6:$I$14,9,FALSE)*R17+VLOOKUP($S$8,'16. Fatores de conversão'!$A$6:$I$14,9,FALSE)*S17+VLOOKUP($T$8,'16. Fatores de conversão'!$A$6:$I$14,9,FALSE)*T17+VLOOKUP($U$8,'16. Fatores de conversão'!$A$6:$I$14,9,FALSE)*U17)/1000</f>
        <v>0</v>
      </c>
      <c r="AB17" s="630"/>
      <c r="AC17" s="630"/>
      <c r="AD17" s="638"/>
      <c r="AE17" s="813">
        <f t="shared" si="3"/>
        <v>0</v>
      </c>
      <c r="AF17" s="640"/>
      <c r="AG17" s="641"/>
      <c r="AH17" s="830" t="s">
        <v>196</v>
      </c>
      <c r="AI17" s="603">
        <f t="shared" si="4"/>
        <v>0</v>
      </c>
      <c r="AJ17" s="788">
        <f t="shared" si="5"/>
        <v>0</v>
      </c>
      <c r="AK17" s="12"/>
      <c r="AL17" s="144"/>
      <c r="AM17" s="144"/>
      <c r="AV17" s="95"/>
      <c r="AW17" s="66"/>
      <c r="AX17" s="66"/>
      <c r="AY17" s="66"/>
      <c r="AZ17" s="11"/>
    </row>
    <row r="18" spans="2:52" ht="30" customHeight="1" x14ac:dyDescent="0.3">
      <c r="B18" s="15"/>
      <c r="C18" s="91">
        <v>8</v>
      </c>
      <c r="D18" s="633"/>
      <c r="E18" s="622"/>
      <c r="F18" s="634"/>
      <c r="G18" s="627"/>
      <c r="H18" s="644"/>
      <c r="I18" s="635"/>
      <c r="J18" s="627"/>
      <c r="K18" s="627"/>
      <c r="L18" s="627"/>
      <c r="M18" s="627"/>
      <c r="N18" s="93">
        <f t="shared" si="7"/>
        <v>0</v>
      </c>
      <c r="O18" s="94">
        <f>+VLOOKUP($I$8,'16. Fatores de conversão'!$A$6:$I$14,6,FALSE)*I18+VLOOKUP($J$8,'16. Fatores de conversão'!$A$6:$I$14,6,FALSE)*J18+VLOOKUP($K$8,'16. Fatores de conversão'!$A$6:$I$14,6,FALSE)*K18+VLOOKUP($L$8,'16. Fatores de conversão'!$A$6:$I$14,6,FALSE)*L18+VLOOKUP($M$8,'16. Fatores de conversão'!$A$6:$I$14,6,FALSE)*M18</f>
        <v>0</v>
      </c>
      <c r="P18" s="603">
        <f>+SUMPRODUCT('1. Identificação Ben. Oper.'!$D$56:$H$56,I18:M18)</f>
        <v>0</v>
      </c>
      <c r="Q18" s="636"/>
      <c r="R18" s="637"/>
      <c r="S18" s="637"/>
      <c r="T18" s="637"/>
      <c r="U18" s="637"/>
      <c r="V18" s="93">
        <f t="shared" si="8"/>
        <v>0</v>
      </c>
      <c r="W18" s="603">
        <f>+SUMPRODUCT('1. Identificação Ben. Oper.'!$D$56:$H$56,Q18:U18)</f>
        <v>0</v>
      </c>
      <c r="X18" s="604">
        <f t="shared" si="6"/>
        <v>0</v>
      </c>
      <c r="Y18" s="94">
        <f>+VLOOKUP($Q$8,'16. Fatores de conversão'!$A$6:$I$14,3,FALSE)*Q18+VLOOKUP($R$8,'16. Fatores de conversão'!$A$6:$I$14,3,FALSE)*R18+VLOOKUP($S$8,'16. Fatores de conversão'!$A$6:$I$14,3,FALSE)*S18+VLOOKUP($T$8,'16. Fatores de conversão'!$A$6:$I$14,3,FALSE)*T18+VLOOKUP($U$8,'16. Fatores de conversão'!$A$6:$I$14,3,FALSE)*U18</f>
        <v>0</v>
      </c>
      <c r="Z18" s="94">
        <f>+VLOOKUP($Q$8,'16. Fatores de conversão'!$A$6:$I$14,6,FALSE)*Q18+VLOOKUP($R$8,'16. Fatores de conversão'!$A$6:$I$14,6,FALSE)*R18+VLOOKUP($S$8,'16. Fatores de conversão'!$A$6:$I$14,6,FALSE)*S18+VLOOKUP($T$8,'16. Fatores de conversão'!$A$6:$I$14,6,FALSE)*T18+VLOOKUP($U$8,'16. Fatores de conversão'!$A$6:$I$14,6,FALSE)*U18</f>
        <v>0</v>
      </c>
      <c r="AA18" s="94">
        <f>(VLOOKUP($Q$8,'16. Fatores de conversão'!$A$6:$I$14,9,FALSE)*Q18+VLOOKUP($R$8,'16. Fatores de conversão'!$A$6:$I$14,9,FALSE)*R18+VLOOKUP($S$8,'16. Fatores de conversão'!$A$6:$I$14,9,FALSE)*S18+VLOOKUP($T$8,'16. Fatores de conversão'!$A$6:$I$14,9,FALSE)*T18+VLOOKUP($U$8,'16. Fatores de conversão'!$A$6:$I$14,9,FALSE)*U18)/1000</f>
        <v>0</v>
      </c>
      <c r="AB18" s="630"/>
      <c r="AC18" s="630"/>
      <c r="AD18" s="638"/>
      <c r="AE18" s="813">
        <f t="shared" si="3"/>
        <v>0</v>
      </c>
      <c r="AF18" s="640"/>
      <c r="AG18" s="641"/>
      <c r="AH18" s="830" t="s">
        <v>196</v>
      </c>
      <c r="AI18" s="603">
        <f t="shared" si="4"/>
        <v>0</v>
      </c>
      <c r="AJ18" s="788">
        <f t="shared" si="5"/>
        <v>0</v>
      </c>
      <c r="AK18" s="12"/>
      <c r="AL18" s="144"/>
      <c r="AM18" s="144"/>
      <c r="AV18" s="95"/>
      <c r="AW18" s="66"/>
      <c r="AX18" s="66"/>
      <c r="AY18" s="66"/>
      <c r="AZ18" s="11"/>
    </row>
    <row r="19" spans="2:52" ht="30" customHeight="1" x14ac:dyDescent="0.3">
      <c r="B19" s="15"/>
      <c r="C19" s="991" t="s">
        <v>474</v>
      </c>
      <c r="D19" s="992"/>
      <c r="E19" s="992"/>
      <c r="F19" s="992"/>
      <c r="G19" s="599" t="s">
        <v>473</v>
      </c>
      <c r="H19" s="599"/>
      <c r="I19" s="600"/>
      <c r="J19" s="598"/>
      <c r="K19" s="598"/>
      <c r="L19" s="598"/>
      <c r="M19" s="598"/>
      <c r="N19" s="598"/>
      <c r="O19" s="598"/>
      <c r="P19" s="598"/>
      <c r="Q19" s="598"/>
      <c r="R19" s="598"/>
      <c r="S19" s="598"/>
      <c r="T19" s="598"/>
      <c r="U19" s="598"/>
      <c r="V19" s="598"/>
      <c r="W19" s="598"/>
      <c r="X19" s="598"/>
      <c r="Y19" s="598"/>
      <c r="Z19" s="598"/>
      <c r="AA19" s="598"/>
      <c r="AB19" s="598"/>
      <c r="AC19" s="598"/>
      <c r="AD19" s="598"/>
      <c r="AE19" s="598"/>
      <c r="AF19" s="601"/>
      <c r="AG19" s="598"/>
      <c r="AH19" s="598"/>
      <c r="AI19" s="598"/>
      <c r="AJ19" s="602"/>
      <c r="AK19" s="12"/>
      <c r="AL19" s="144"/>
      <c r="AM19" s="144"/>
      <c r="AV19" s="95"/>
      <c r="AW19" s="66"/>
      <c r="AX19" s="66"/>
      <c r="AY19" s="66"/>
      <c r="AZ19" s="11"/>
    </row>
    <row r="20" spans="2:52" ht="30" customHeight="1" thickBot="1" x14ac:dyDescent="0.35">
      <c r="B20" s="15"/>
      <c r="C20" s="97">
        <v>9</v>
      </c>
      <c r="D20" s="645"/>
      <c r="E20" s="811"/>
      <c r="F20" s="646"/>
      <c r="G20" s="647"/>
      <c r="H20" s="817"/>
      <c r="I20" s="818"/>
      <c r="J20" s="819"/>
      <c r="K20" s="819"/>
      <c r="L20" s="819"/>
      <c r="M20" s="819"/>
      <c r="N20" s="819"/>
      <c r="O20" s="820"/>
      <c r="P20" s="821"/>
      <c r="Q20" s="822"/>
      <c r="R20" s="823"/>
      <c r="S20" s="823"/>
      <c r="T20" s="823"/>
      <c r="U20" s="823"/>
      <c r="V20" s="819"/>
      <c r="W20" s="821"/>
      <c r="X20" s="824"/>
      <c r="Y20" s="820"/>
      <c r="Z20" s="820"/>
      <c r="AA20" s="820"/>
      <c r="AB20" s="825"/>
      <c r="AC20" s="825"/>
      <c r="AD20" s="826"/>
      <c r="AE20" s="827"/>
      <c r="AF20" s="642"/>
      <c r="AG20" s="643"/>
      <c r="AH20" s="828"/>
      <c r="AI20" s="821"/>
      <c r="AJ20" s="829" t="s">
        <v>196</v>
      </c>
      <c r="AK20" s="12"/>
      <c r="AL20" s="161"/>
      <c r="AM20" s="161"/>
      <c r="AV20" s="95"/>
      <c r="AW20" s="66"/>
      <c r="AX20" s="66"/>
      <c r="AY20" s="66"/>
      <c r="AZ20" s="11"/>
    </row>
    <row r="21" spans="2:52" ht="15" thickBot="1" x14ac:dyDescent="0.35">
      <c r="B21" s="15"/>
      <c r="C21" s="21"/>
      <c r="D21" s="11"/>
      <c r="E21" s="11"/>
      <c r="F21" s="11"/>
      <c r="G21" s="11"/>
      <c r="H21" s="11"/>
      <c r="I21" s="778">
        <f>SUM(I10:I20)</f>
        <v>0</v>
      </c>
      <c r="J21" s="779">
        <f t="shared" ref="J21:P21" si="9">SUM(J10:J20)</f>
        <v>0</v>
      </c>
      <c r="K21" s="779">
        <f t="shared" si="9"/>
        <v>0</v>
      </c>
      <c r="L21" s="779">
        <f t="shared" si="9"/>
        <v>0</v>
      </c>
      <c r="M21" s="779">
        <f t="shared" si="9"/>
        <v>0</v>
      </c>
      <c r="N21" s="779">
        <f t="shared" si="9"/>
        <v>0</v>
      </c>
      <c r="O21" s="780">
        <f t="shared" si="9"/>
        <v>0</v>
      </c>
      <c r="P21" s="781">
        <f t="shared" si="9"/>
        <v>0</v>
      </c>
      <c r="Q21" s="778">
        <f>SUM(Q10:Q20)</f>
        <v>0</v>
      </c>
      <c r="R21" s="779">
        <f t="shared" ref="R21:U21" si="10">SUM(R10:R20)</f>
        <v>0</v>
      </c>
      <c r="S21" s="779">
        <f t="shared" si="10"/>
        <v>0</v>
      </c>
      <c r="T21" s="779">
        <f t="shared" si="10"/>
        <v>0</v>
      </c>
      <c r="U21" s="779">
        <f t="shared" si="10"/>
        <v>0</v>
      </c>
      <c r="V21" s="779">
        <f>SUM(V10:V20)</f>
        <v>0</v>
      </c>
      <c r="W21" s="782">
        <f>SUM(W10:W20)</f>
        <v>0</v>
      </c>
      <c r="X21" s="783">
        <f t="shared" si="6"/>
        <v>0</v>
      </c>
      <c r="Y21" s="803">
        <f t="shared" ref="Y21:AC21" si="11">SUM(Y10:Y20)</f>
        <v>0</v>
      </c>
      <c r="Z21" s="784">
        <f t="shared" si="11"/>
        <v>0</v>
      </c>
      <c r="AA21" s="784">
        <f t="shared" si="11"/>
        <v>0</v>
      </c>
      <c r="AB21" s="782">
        <f t="shared" si="11"/>
        <v>0</v>
      </c>
      <c r="AC21" s="782">
        <f t="shared" si="11"/>
        <v>0</v>
      </c>
      <c r="AD21" s="364"/>
      <c r="AE21" s="365"/>
      <c r="AF21" s="786">
        <f>SUM(AF10:AF20)</f>
        <v>0</v>
      </c>
      <c r="AG21" s="782">
        <f t="shared" ref="AG21:AH21" si="12">SUM(AG10:AG20)</f>
        <v>0</v>
      </c>
      <c r="AH21" s="782">
        <f t="shared" si="12"/>
        <v>0</v>
      </c>
      <c r="AI21" s="782">
        <f>SUM(AI10:AI20)</f>
        <v>0</v>
      </c>
      <c r="AJ21" s="787">
        <f t="shared" si="5"/>
        <v>0</v>
      </c>
      <c r="AK21" s="12"/>
      <c r="AL21" s="161"/>
      <c r="AM21" s="161"/>
      <c r="AP21" s="4"/>
      <c r="AQ21" s="95"/>
      <c r="AR21" s="66"/>
      <c r="AS21" s="66"/>
      <c r="AT21" s="66"/>
      <c r="AU21" s="11"/>
    </row>
    <row r="22" spans="2:52" s="1" customFormat="1" ht="30" customHeight="1" thickBot="1" x14ac:dyDescent="0.35">
      <c r="B22" s="9"/>
      <c r="C22" s="972" t="s">
        <v>206</v>
      </c>
      <c r="D22" s="973"/>
      <c r="E22" s="775">
        <f>AF21+AG21</f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60"/>
      <c r="R22" s="60"/>
      <c r="S22" s="21"/>
      <c r="T22" s="21"/>
      <c r="U22" s="99"/>
      <c r="V22" s="20"/>
      <c r="W22" s="99"/>
      <c r="X22" s="60"/>
      <c r="Y22" s="60"/>
      <c r="Z22" s="60"/>
      <c r="AA22" s="60"/>
      <c r="AB22" s="60"/>
      <c r="AC22" s="60"/>
      <c r="AD22" s="60"/>
      <c r="AE22" s="99"/>
      <c r="AF22" s="60"/>
      <c r="AG22" s="21"/>
      <c r="AH22" s="21"/>
      <c r="AI22" s="161"/>
      <c r="AJ22" s="161"/>
      <c r="AK22" s="100"/>
      <c r="AL22" s="161"/>
      <c r="AQ22" s="52"/>
      <c r="AR22" s="145"/>
      <c r="AS22" s="66"/>
      <c r="AT22" s="66"/>
      <c r="AU22" s="66"/>
      <c r="AV22" s="21"/>
    </row>
    <row r="23" spans="2:52" ht="30" customHeight="1" thickBot="1" x14ac:dyDescent="0.35">
      <c r="B23" s="15"/>
      <c r="C23" s="972" t="s">
        <v>129</v>
      </c>
      <c r="D23" s="973"/>
      <c r="E23" s="775">
        <f>AI21</f>
        <v>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  <c r="AL23" s="11"/>
      <c r="AS23" s="95"/>
      <c r="AT23" s="66"/>
      <c r="AU23" s="66"/>
      <c r="AV23" s="66"/>
      <c r="AW23" s="11"/>
    </row>
    <row r="24" spans="2:52" x14ac:dyDescent="0.3">
      <c r="B24" s="15"/>
      <c r="C24" s="2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62"/>
      <c r="AL24" s="11"/>
      <c r="AR24" s="95"/>
      <c r="AS24" s="11"/>
      <c r="AT24" s="66"/>
      <c r="AU24" s="66"/>
      <c r="AV24" s="11"/>
    </row>
    <row r="25" spans="2:52" ht="15" thickBot="1" x14ac:dyDescent="0.35">
      <c r="B25" s="15"/>
      <c r="C25" s="2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66"/>
      <c r="AJ25" s="76"/>
      <c r="AK25" s="62"/>
      <c r="AL25" s="76"/>
      <c r="AO25" s="95"/>
      <c r="AP25" s="11"/>
      <c r="AQ25" s="66"/>
      <c r="AR25" s="66"/>
      <c r="AS25" s="11"/>
    </row>
    <row r="26" spans="2:52" ht="56.25" customHeight="1" thickBot="1" x14ac:dyDescent="0.35">
      <c r="B26" s="15"/>
      <c r="C26" s="101" t="s">
        <v>51</v>
      </c>
      <c r="D26" s="102"/>
      <c r="E26" s="102"/>
      <c r="F26" s="102"/>
      <c r="G26" s="102"/>
      <c r="H26" s="102"/>
      <c r="I26" s="974" t="s">
        <v>374</v>
      </c>
      <c r="J26" s="975"/>
      <c r="K26" s="976"/>
      <c r="L26" s="976"/>
      <c r="M26" s="976"/>
      <c r="N26" s="976"/>
      <c r="O26" s="976"/>
      <c r="P26" s="976"/>
      <c r="Q26" s="976"/>
      <c r="R26" s="976"/>
      <c r="S26" s="976"/>
      <c r="T26" s="976"/>
      <c r="U26" s="976"/>
      <c r="V26" s="976"/>
      <c r="W26" s="976"/>
      <c r="X26" s="976"/>
      <c r="Y26" s="976"/>
      <c r="Z26" s="976"/>
      <c r="AA26" s="976"/>
      <c r="AB26" s="976"/>
      <c r="AC26" s="976"/>
      <c r="AD26" s="976"/>
      <c r="AE26" s="976"/>
      <c r="AF26" s="976"/>
      <c r="AG26" s="976"/>
      <c r="AH26" s="977"/>
      <c r="AJ26" s="76"/>
      <c r="AK26" s="62"/>
      <c r="AL26" s="76"/>
      <c r="AO26" s="95"/>
      <c r="AP26" s="11"/>
      <c r="AQ26" s="66"/>
      <c r="AR26" s="66"/>
      <c r="AS26" s="11"/>
    </row>
    <row r="27" spans="2:52" ht="15" thickBot="1" x14ac:dyDescent="0.35">
      <c r="B27" s="15"/>
      <c r="C27" s="103"/>
      <c r="D27" s="104"/>
      <c r="E27" s="104"/>
      <c r="F27" s="104"/>
      <c r="G27" s="105"/>
      <c r="H27" s="104"/>
      <c r="I27" s="978" t="s">
        <v>25</v>
      </c>
      <c r="J27" s="978"/>
      <c r="K27" s="978"/>
      <c r="L27" s="978"/>
      <c r="M27" s="978"/>
      <c r="N27" s="978"/>
      <c r="O27" s="978"/>
      <c r="P27" s="978"/>
      <c r="Q27" s="978"/>
      <c r="R27" s="978"/>
      <c r="S27" s="978"/>
      <c r="T27" s="978"/>
      <c r="U27" s="978"/>
      <c r="V27" s="978"/>
      <c r="W27" s="978"/>
      <c r="X27" s="978"/>
      <c r="Y27" s="978"/>
      <c r="Z27" s="978"/>
      <c r="AA27" s="978"/>
      <c r="AB27" s="978"/>
      <c r="AC27" s="978"/>
      <c r="AD27" s="978"/>
      <c r="AE27" s="978"/>
      <c r="AF27" s="978"/>
      <c r="AG27" s="978"/>
      <c r="AH27" s="162"/>
      <c r="AJ27" s="76"/>
      <c r="AK27" s="62"/>
      <c r="AL27" s="76"/>
      <c r="AO27" s="11"/>
      <c r="AP27" s="11"/>
      <c r="AQ27" s="66"/>
      <c r="AR27" s="66"/>
      <c r="AS27" s="11"/>
    </row>
    <row r="28" spans="2:52" ht="28.5" customHeight="1" thickBot="1" x14ac:dyDescent="0.35">
      <c r="B28" s="15"/>
      <c r="C28" s="107" t="s">
        <v>52</v>
      </c>
      <c r="D28" s="414" t="s">
        <v>185</v>
      </c>
      <c r="E28" s="108" t="s">
        <v>184</v>
      </c>
      <c r="F28" s="108" t="s">
        <v>190</v>
      </c>
      <c r="G28" s="971" t="s">
        <v>121</v>
      </c>
      <c r="H28" s="971"/>
      <c r="I28" s="109">
        <v>1</v>
      </c>
      <c r="J28" s="109">
        <v>2</v>
      </c>
      <c r="K28" s="109">
        <v>3</v>
      </c>
      <c r="L28" s="109">
        <v>4</v>
      </c>
      <c r="M28" s="109">
        <v>5</v>
      </c>
      <c r="N28" s="109">
        <v>6</v>
      </c>
      <c r="O28" s="109">
        <v>7</v>
      </c>
      <c r="P28" s="109">
        <v>8</v>
      </c>
      <c r="Q28" s="109">
        <v>9</v>
      </c>
      <c r="R28" s="109">
        <v>10</v>
      </c>
      <c r="S28" s="109">
        <v>11</v>
      </c>
      <c r="T28" s="109">
        <v>12</v>
      </c>
      <c r="U28" s="109">
        <v>13</v>
      </c>
      <c r="V28" s="109">
        <v>14</v>
      </c>
      <c r="W28" s="109">
        <v>15</v>
      </c>
      <c r="X28" s="109">
        <v>16</v>
      </c>
      <c r="Y28" s="109">
        <v>17</v>
      </c>
      <c r="Z28" s="109">
        <v>18</v>
      </c>
      <c r="AA28" s="109">
        <v>19</v>
      </c>
      <c r="AB28" s="109">
        <v>20</v>
      </c>
      <c r="AC28" s="109">
        <v>21</v>
      </c>
      <c r="AD28" s="109">
        <v>22</v>
      </c>
      <c r="AE28" s="109">
        <v>23</v>
      </c>
      <c r="AF28" s="109">
        <v>24</v>
      </c>
      <c r="AG28" s="109">
        <v>25</v>
      </c>
      <c r="AH28" s="110" t="s">
        <v>53</v>
      </c>
      <c r="AJ28" s="76"/>
      <c r="AK28" s="62"/>
      <c r="AL28" s="76"/>
    </row>
    <row r="29" spans="2:52" ht="15" thickBot="1" x14ac:dyDescent="0.35">
      <c r="B29" s="15"/>
      <c r="C29" s="111">
        <f>C10</f>
        <v>1</v>
      </c>
      <c r="D29" s="112">
        <f>W10</f>
        <v>0</v>
      </c>
      <c r="E29" s="112">
        <f t="shared" ref="E29:F33" si="13">AB10</f>
        <v>0</v>
      </c>
      <c r="F29" s="112">
        <f t="shared" si="13"/>
        <v>0</v>
      </c>
      <c r="G29" s="112">
        <f>IF(D29="",0,D29-E29)</f>
        <v>0</v>
      </c>
      <c r="H29" s="113"/>
      <c r="I29" s="114">
        <f>IF($H10&gt;=25,$G29,IF(I$28&lt;=$H10,$G29,IF(I$28&lt;=($H10*($AD10+1)),$G29,0)))-IF($H10="",0,IF(I$28-1&lt;=($H10*$AD10),$F29,0))*IF(OR($AE10=0,$AE10&gt;25),0,IF(MOD(I$28,$H10)=0,1,0))</f>
        <v>0</v>
      </c>
      <c r="J29" s="114">
        <f t="shared" ref="J29:AG29" si="14">IF($H10&gt;=25,$G29,IF(J$28&lt;=$H10,$G29,IF(J$28&lt;=($H10*($AD10+1)),$G29,0)))-IF($H10="",0,IF(J$28-1&lt;=($H10*$AD10),$F29,0))*IF(OR($AE10=0,$AE10&gt;25),0,IF(MOD(J$28-1,$H10)=0,1,0))</f>
        <v>0</v>
      </c>
      <c r="K29" s="114">
        <f t="shared" si="14"/>
        <v>0</v>
      </c>
      <c r="L29" s="114">
        <f t="shared" si="14"/>
        <v>0</v>
      </c>
      <c r="M29" s="114">
        <f t="shared" si="14"/>
        <v>0</v>
      </c>
      <c r="N29" s="114">
        <f t="shared" si="14"/>
        <v>0</v>
      </c>
      <c r="O29" s="114">
        <f t="shared" si="14"/>
        <v>0</v>
      </c>
      <c r="P29" s="114">
        <f t="shared" si="14"/>
        <v>0</v>
      </c>
      <c r="Q29" s="114">
        <f t="shared" si="14"/>
        <v>0</v>
      </c>
      <c r="R29" s="114">
        <f t="shared" si="14"/>
        <v>0</v>
      </c>
      <c r="S29" s="114">
        <f t="shared" si="14"/>
        <v>0</v>
      </c>
      <c r="T29" s="114">
        <f t="shared" si="14"/>
        <v>0</v>
      </c>
      <c r="U29" s="114">
        <f t="shared" si="14"/>
        <v>0</v>
      </c>
      <c r="V29" s="114">
        <f t="shared" si="14"/>
        <v>0</v>
      </c>
      <c r="W29" s="114">
        <f t="shared" si="14"/>
        <v>0</v>
      </c>
      <c r="X29" s="114">
        <f t="shared" si="14"/>
        <v>0</v>
      </c>
      <c r="Y29" s="114">
        <f t="shared" si="14"/>
        <v>0</v>
      </c>
      <c r="Z29" s="114">
        <f t="shared" si="14"/>
        <v>0</v>
      </c>
      <c r="AA29" s="114">
        <f t="shared" si="14"/>
        <v>0</v>
      </c>
      <c r="AB29" s="114">
        <f t="shared" si="14"/>
        <v>0</v>
      </c>
      <c r="AC29" s="114">
        <f t="shared" si="14"/>
        <v>0</v>
      </c>
      <c r="AD29" s="114">
        <f t="shared" si="14"/>
        <v>0</v>
      </c>
      <c r="AE29" s="114">
        <f t="shared" si="14"/>
        <v>0</v>
      </c>
      <c r="AF29" s="114">
        <f t="shared" si="14"/>
        <v>0</v>
      </c>
      <c r="AG29" s="114">
        <f t="shared" si="14"/>
        <v>0</v>
      </c>
      <c r="AH29" s="115">
        <f t="shared" ref="AH29:AH36" si="15">SUM(I29:AG29)</f>
        <v>0</v>
      </c>
      <c r="AJ29" s="76"/>
      <c r="AK29" s="62"/>
      <c r="AL29" s="76"/>
    </row>
    <row r="30" spans="2:52" ht="15" thickBot="1" x14ac:dyDescent="0.35">
      <c r="B30" s="15"/>
      <c r="C30" s="111">
        <f>C11</f>
        <v>2</v>
      </c>
      <c r="D30" s="112">
        <f>W11</f>
        <v>0</v>
      </c>
      <c r="E30" s="112">
        <f t="shared" si="13"/>
        <v>0</v>
      </c>
      <c r="F30" s="112">
        <f t="shared" si="13"/>
        <v>0</v>
      </c>
      <c r="G30" s="112">
        <f t="shared" ref="G30:G36" si="16">IF(D30="",0,D30-E30)</f>
        <v>0</v>
      </c>
      <c r="H30" s="116"/>
      <c r="I30" s="114">
        <f>IF($H11&gt;=25,$G30,IF(I$28&lt;=$H11,$G30,IF(I$28&lt;=($H11*($AD11+1)),$G30,0)))-IF($H11="",0,IF(I$28-1&lt;=($H11*$AD11),$F30,0))*IF(OR($AE11=0,$AE11&gt;25),0,IF(MOD(I$28,$H11)=0,1,0))</f>
        <v>0</v>
      </c>
      <c r="J30" s="114">
        <f t="shared" ref="J30:AG30" si="17">IF($H11&gt;=25,$G30,IF(J$28&lt;=$H11,$G30,IF(J$28&lt;=($H11*($AD11+1)),$G30,0)))-IF($H11="",0,IF(J$28-1&lt;=($H11*$AD11),$F30,0))*IF(OR($AE11=0,$AE11&gt;25),0,IF(MOD(J$28-1,$H11)=0,1,0))</f>
        <v>0</v>
      </c>
      <c r="K30" s="114">
        <f t="shared" si="17"/>
        <v>0</v>
      </c>
      <c r="L30" s="114">
        <f t="shared" si="17"/>
        <v>0</v>
      </c>
      <c r="M30" s="114">
        <f t="shared" si="17"/>
        <v>0</v>
      </c>
      <c r="N30" s="114">
        <f t="shared" si="17"/>
        <v>0</v>
      </c>
      <c r="O30" s="114">
        <f t="shared" si="17"/>
        <v>0</v>
      </c>
      <c r="P30" s="114">
        <f t="shared" si="17"/>
        <v>0</v>
      </c>
      <c r="Q30" s="114">
        <f t="shared" si="17"/>
        <v>0</v>
      </c>
      <c r="R30" s="114">
        <f t="shared" si="17"/>
        <v>0</v>
      </c>
      <c r="S30" s="114">
        <f t="shared" si="17"/>
        <v>0</v>
      </c>
      <c r="T30" s="114">
        <f t="shared" si="17"/>
        <v>0</v>
      </c>
      <c r="U30" s="114">
        <f t="shared" si="17"/>
        <v>0</v>
      </c>
      <c r="V30" s="114">
        <f t="shared" si="17"/>
        <v>0</v>
      </c>
      <c r="W30" s="114">
        <f t="shared" si="17"/>
        <v>0</v>
      </c>
      <c r="X30" s="114">
        <f t="shared" si="17"/>
        <v>0</v>
      </c>
      <c r="Y30" s="114">
        <f t="shared" si="17"/>
        <v>0</v>
      </c>
      <c r="Z30" s="114">
        <f t="shared" si="17"/>
        <v>0</v>
      </c>
      <c r="AA30" s="114">
        <f t="shared" si="17"/>
        <v>0</v>
      </c>
      <c r="AB30" s="114">
        <f t="shared" si="17"/>
        <v>0</v>
      </c>
      <c r="AC30" s="114">
        <f t="shared" si="17"/>
        <v>0</v>
      </c>
      <c r="AD30" s="114">
        <f t="shared" si="17"/>
        <v>0</v>
      </c>
      <c r="AE30" s="114">
        <f t="shared" si="17"/>
        <v>0</v>
      </c>
      <c r="AF30" s="114">
        <f t="shared" si="17"/>
        <v>0</v>
      </c>
      <c r="AG30" s="114">
        <f t="shared" si="17"/>
        <v>0</v>
      </c>
      <c r="AH30" s="115">
        <f t="shared" si="15"/>
        <v>0</v>
      </c>
      <c r="AJ30" s="76"/>
      <c r="AK30" s="62"/>
      <c r="AL30" s="76"/>
    </row>
    <row r="31" spans="2:52" ht="15" thickBot="1" x14ac:dyDescent="0.35">
      <c r="B31" s="15"/>
      <c r="C31" s="111">
        <f>C12</f>
        <v>3</v>
      </c>
      <c r="D31" s="112">
        <f>W12</f>
        <v>0</v>
      </c>
      <c r="E31" s="112">
        <f t="shared" si="13"/>
        <v>0</v>
      </c>
      <c r="F31" s="112">
        <f t="shared" si="13"/>
        <v>0</v>
      </c>
      <c r="G31" s="112">
        <f t="shared" si="16"/>
        <v>0</v>
      </c>
      <c r="H31" s="116"/>
      <c r="I31" s="114">
        <f>IF($H12&gt;=25,$G31,IF(I$28&lt;=$H12,$G31,IF(I$28&lt;=($H12*($AD12+1)),$G31,0)))-IF($H12="",0,IF(I$28-1&lt;=($H12*$AD12),$F31,0))*IF(OR($AE12=0,$AE12&gt;25),0,IF(MOD(I$28,$H12)=0,1,0))</f>
        <v>0</v>
      </c>
      <c r="J31" s="114">
        <f t="shared" ref="J31:AG31" si="18">IF($H12&gt;=25,$G31,IF(J$28&lt;=$H12,$G31,IF(J$28&lt;=($H12*($AD12+1)),$G31,0)))-IF($H12="",0,IF(J$28-1&lt;=($H12*$AD12),$F31,0))*IF(OR($AE12=0,$AE12&gt;25),0,IF(MOD(J$28-1,$H12)=0,1,0))</f>
        <v>0</v>
      </c>
      <c r="K31" s="114">
        <f t="shared" si="18"/>
        <v>0</v>
      </c>
      <c r="L31" s="114">
        <f t="shared" si="18"/>
        <v>0</v>
      </c>
      <c r="M31" s="114">
        <f t="shared" si="18"/>
        <v>0</v>
      </c>
      <c r="N31" s="114">
        <f t="shared" si="18"/>
        <v>0</v>
      </c>
      <c r="O31" s="114">
        <f t="shared" si="18"/>
        <v>0</v>
      </c>
      <c r="P31" s="114">
        <f t="shared" si="18"/>
        <v>0</v>
      </c>
      <c r="Q31" s="114">
        <f t="shared" si="18"/>
        <v>0</v>
      </c>
      <c r="R31" s="114">
        <f t="shared" si="18"/>
        <v>0</v>
      </c>
      <c r="S31" s="114">
        <f t="shared" si="18"/>
        <v>0</v>
      </c>
      <c r="T31" s="114">
        <f t="shared" si="18"/>
        <v>0</v>
      </c>
      <c r="U31" s="114">
        <f t="shared" si="18"/>
        <v>0</v>
      </c>
      <c r="V31" s="114">
        <f t="shared" si="18"/>
        <v>0</v>
      </c>
      <c r="W31" s="114">
        <f t="shared" si="18"/>
        <v>0</v>
      </c>
      <c r="X31" s="114">
        <f t="shared" si="18"/>
        <v>0</v>
      </c>
      <c r="Y31" s="114">
        <f t="shared" si="18"/>
        <v>0</v>
      </c>
      <c r="Z31" s="114">
        <f t="shared" si="18"/>
        <v>0</v>
      </c>
      <c r="AA31" s="114">
        <f t="shared" si="18"/>
        <v>0</v>
      </c>
      <c r="AB31" s="114">
        <f t="shared" si="18"/>
        <v>0</v>
      </c>
      <c r="AC31" s="114">
        <f t="shared" si="18"/>
        <v>0</v>
      </c>
      <c r="AD31" s="114">
        <f t="shared" si="18"/>
        <v>0</v>
      </c>
      <c r="AE31" s="114">
        <f t="shared" si="18"/>
        <v>0</v>
      </c>
      <c r="AF31" s="114">
        <f t="shared" si="18"/>
        <v>0</v>
      </c>
      <c r="AG31" s="114">
        <f t="shared" si="18"/>
        <v>0</v>
      </c>
      <c r="AH31" s="115">
        <f t="shared" si="15"/>
        <v>0</v>
      </c>
      <c r="AJ31" s="76"/>
      <c r="AK31" s="62"/>
      <c r="AL31" s="76"/>
    </row>
    <row r="32" spans="2:52" ht="15" thickBot="1" x14ac:dyDescent="0.35">
      <c r="B32" s="15"/>
      <c r="C32" s="111">
        <f>C13</f>
        <v>4</v>
      </c>
      <c r="D32" s="112">
        <f>W13</f>
        <v>0</v>
      </c>
      <c r="E32" s="112">
        <f t="shared" si="13"/>
        <v>0</v>
      </c>
      <c r="F32" s="112">
        <f t="shared" si="13"/>
        <v>0</v>
      </c>
      <c r="G32" s="112">
        <f t="shared" si="16"/>
        <v>0</v>
      </c>
      <c r="H32" s="116"/>
      <c r="I32" s="114">
        <f>IF($H13&gt;=25,$G32,IF(I$28&lt;=$H13,$G32,IF(I$28&lt;=($H13*($AD13+1)),$G32,0)))-IF($H13="",0,IF(I$28-1&lt;=($H13*$AD13),$F32,0))*IF(OR($AE13=0,$AE13&gt;25),0,IF(MOD(I$28,$H13)=0,1,0))</f>
        <v>0</v>
      </c>
      <c r="J32" s="114">
        <f t="shared" ref="J32:AG32" si="19">IF($H13&gt;=25,$G32,IF(J$28&lt;=$H13,$G32,IF(J$28&lt;=($H13*($AD13+1)),$G32,0)))-IF($H13="",0,IF(J$28-1&lt;=($H13*$AD13),$F32,0))*IF(OR($AE13=0,$AE13&gt;25),0,IF(MOD(J$28-1,$H13)=0,1,0))</f>
        <v>0</v>
      </c>
      <c r="K32" s="114">
        <f t="shared" si="19"/>
        <v>0</v>
      </c>
      <c r="L32" s="114">
        <f t="shared" si="19"/>
        <v>0</v>
      </c>
      <c r="M32" s="114">
        <f t="shared" si="19"/>
        <v>0</v>
      </c>
      <c r="N32" s="114">
        <f t="shared" si="19"/>
        <v>0</v>
      </c>
      <c r="O32" s="114">
        <f t="shared" si="19"/>
        <v>0</v>
      </c>
      <c r="P32" s="114">
        <f t="shared" si="19"/>
        <v>0</v>
      </c>
      <c r="Q32" s="114">
        <f t="shared" si="19"/>
        <v>0</v>
      </c>
      <c r="R32" s="114">
        <f t="shared" si="19"/>
        <v>0</v>
      </c>
      <c r="S32" s="114">
        <f t="shared" si="19"/>
        <v>0</v>
      </c>
      <c r="T32" s="114">
        <f t="shared" si="19"/>
        <v>0</v>
      </c>
      <c r="U32" s="114">
        <f t="shared" si="19"/>
        <v>0</v>
      </c>
      <c r="V32" s="114">
        <f t="shared" si="19"/>
        <v>0</v>
      </c>
      <c r="W32" s="114">
        <f t="shared" si="19"/>
        <v>0</v>
      </c>
      <c r="X32" s="114">
        <f t="shared" si="19"/>
        <v>0</v>
      </c>
      <c r="Y32" s="114">
        <f t="shared" si="19"/>
        <v>0</v>
      </c>
      <c r="Z32" s="114">
        <f t="shared" si="19"/>
        <v>0</v>
      </c>
      <c r="AA32" s="114">
        <f t="shared" si="19"/>
        <v>0</v>
      </c>
      <c r="AB32" s="114">
        <f t="shared" si="19"/>
        <v>0</v>
      </c>
      <c r="AC32" s="114">
        <f t="shared" si="19"/>
        <v>0</v>
      </c>
      <c r="AD32" s="114">
        <f t="shared" si="19"/>
        <v>0</v>
      </c>
      <c r="AE32" s="114">
        <f t="shared" si="19"/>
        <v>0</v>
      </c>
      <c r="AF32" s="114">
        <f t="shared" si="19"/>
        <v>0</v>
      </c>
      <c r="AG32" s="114">
        <f t="shared" si="19"/>
        <v>0</v>
      </c>
      <c r="AH32" s="115">
        <f t="shared" si="15"/>
        <v>0</v>
      </c>
      <c r="AJ32" s="76"/>
      <c r="AK32" s="62"/>
      <c r="AL32" s="76"/>
    </row>
    <row r="33" spans="2:38" ht="15" thickBot="1" x14ac:dyDescent="0.35">
      <c r="B33" s="15"/>
      <c r="C33" s="111">
        <f>C14</f>
        <v>5</v>
      </c>
      <c r="D33" s="112">
        <f>W14</f>
        <v>0</v>
      </c>
      <c r="E33" s="112">
        <f t="shared" si="13"/>
        <v>0</v>
      </c>
      <c r="F33" s="112">
        <f t="shared" si="13"/>
        <v>0</v>
      </c>
      <c r="G33" s="112">
        <f t="shared" si="16"/>
        <v>0</v>
      </c>
      <c r="H33" s="116"/>
      <c r="I33" s="114">
        <f>IF($H14&gt;=25,$G33,IF(I$28&lt;=$H14,$G33,IF(I$28&lt;=($H14*($AD14+1)),$G33,0)))-IF($H14="",0,IF(I$28-1&lt;=($H14*$AD14),$F33,0))*IF(OR($AE14=0,$AE14&gt;25),0,IF(MOD(I$28,$H14)=0,1,0))</f>
        <v>0</v>
      </c>
      <c r="J33" s="114">
        <f t="shared" ref="J33:AG33" si="20">IF($H14&gt;=25,$G33,IF(J$28&lt;=$H14,$G33,IF(J$28&lt;=($H14*($AD14+1)),$G33,0)))-IF($H14="",0,IF(J$28-1&lt;=($H14*$AD14),$F33,0))*IF(OR($AE14=0,$AE14&gt;25),0,IF(MOD(J$28-1,$H14)=0,1,0))</f>
        <v>0</v>
      </c>
      <c r="K33" s="114">
        <f t="shared" si="20"/>
        <v>0</v>
      </c>
      <c r="L33" s="114">
        <f t="shared" si="20"/>
        <v>0</v>
      </c>
      <c r="M33" s="114">
        <f t="shared" si="20"/>
        <v>0</v>
      </c>
      <c r="N33" s="114">
        <f t="shared" si="20"/>
        <v>0</v>
      </c>
      <c r="O33" s="114">
        <f t="shared" si="20"/>
        <v>0</v>
      </c>
      <c r="P33" s="114">
        <f t="shared" si="20"/>
        <v>0</v>
      </c>
      <c r="Q33" s="114">
        <f t="shared" si="20"/>
        <v>0</v>
      </c>
      <c r="R33" s="114">
        <f t="shared" si="20"/>
        <v>0</v>
      </c>
      <c r="S33" s="114">
        <f t="shared" si="20"/>
        <v>0</v>
      </c>
      <c r="T33" s="114">
        <f t="shared" si="20"/>
        <v>0</v>
      </c>
      <c r="U33" s="114">
        <f t="shared" si="20"/>
        <v>0</v>
      </c>
      <c r="V33" s="114">
        <f t="shared" si="20"/>
        <v>0</v>
      </c>
      <c r="W33" s="114">
        <f t="shared" si="20"/>
        <v>0</v>
      </c>
      <c r="X33" s="114">
        <f t="shared" si="20"/>
        <v>0</v>
      </c>
      <c r="Y33" s="114">
        <f t="shared" si="20"/>
        <v>0</v>
      </c>
      <c r="Z33" s="114">
        <f t="shared" si="20"/>
        <v>0</v>
      </c>
      <c r="AA33" s="114">
        <f t="shared" si="20"/>
        <v>0</v>
      </c>
      <c r="AB33" s="114">
        <f t="shared" si="20"/>
        <v>0</v>
      </c>
      <c r="AC33" s="114">
        <f t="shared" si="20"/>
        <v>0</v>
      </c>
      <c r="AD33" s="114">
        <f t="shared" si="20"/>
        <v>0</v>
      </c>
      <c r="AE33" s="114">
        <f t="shared" si="20"/>
        <v>0</v>
      </c>
      <c r="AF33" s="114">
        <f t="shared" si="20"/>
        <v>0</v>
      </c>
      <c r="AG33" s="114">
        <f t="shared" si="20"/>
        <v>0</v>
      </c>
      <c r="AH33" s="115">
        <f t="shared" si="15"/>
        <v>0</v>
      </c>
      <c r="AJ33" s="76"/>
      <c r="AK33" s="62"/>
      <c r="AL33" s="76"/>
    </row>
    <row r="34" spans="2:38" ht="15" thickBot="1" x14ac:dyDescent="0.35">
      <c r="B34" s="15"/>
      <c r="C34" s="111">
        <f>C16</f>
        <v>6</v>
      </c>
      <c r="D34" s="117">
        <f>W16</f>
        <v>0</v>
      </c>
      <c r="E34" s="117">
        <f t="shared" ref="E34:F36" si="21">AB16</f>
        <v>0</v>
      </c>
      <c r="F34" s="117">
        <f t="shared" si="21"/>
        <v>0</v>
      </c>
      <c r="G34" s="112">
        <f t="shared" si="16"/>
        <v>0</v>
      </c>
      <c r="H34" s="118"/>
      <c r="I34" s="114">
        <f>IF($H16&gt;=25,$G34,IF(I$28&lt;=$H16,$G34,IF(I$28&lt;=($H16*($AD16+1)),$G34,0)))-IF(I$28-1&lt;=($H16*$AD16),$F34,0)*IF(OR($AE16=0,$AE16&gt;25),0,IF(MOD(I$28,$H16)=0,1,0))</f>
        <v>0</v>
      </c>
      <c r="J34" s="114">
        <f t="shared" ref="J34:AG34" si="22">IF($H16&gt;=25,$G34,IF(J$28&lt;=$H16,$G34,IF(J$28&lt;=($H16*($AD16+1)),$G34,0)))-IF(J$28-1&lt;=($H16*$AD16),$F34,0)*IF(OR($AE16=0,$AE16&gt;25),0,IF(MOD(J$28-1,$H16)=0,1,0))</f>
        <v>0</v>
      </c>
      <c r="K34" s="114">
        <f t="shared" si="22"/>
        <v>0</v>
      </c>
      <c r="L34" s="114">
        <f t="shared" si="22"/>
        <v>0</v>
      </c>
      <c r="M34" s="114">
        <f t="shared" si="22"/>
        <v>0</v>
      </c>
      <c r="N34" s="114">
        <f t="shared" si="22"/>
        <v>0</v>
      </c>
      <c r="O34" s="114">
        <f t="shared" si="22"/>
        <v>0</v>
      </c>
      <c r="P34" s="114">
        <f t="shared" si="22"/>
        <v>0</v>
      </c>
      <c r="Q34" s="114">
        <f t="shared" si="22"/>
        <v>0</v>
      </c>
      <c r="R34" s="114">
        <f t="shared" si="22"/>
        <v>0</v>
      </c>
      <c r="S34" s="114">
        <f t="shared" si="22"/>
        <v>0</v>
      </c>
      <c r="T34" s="114">
        <f t="shared" si="22"/>
        <v>0</v>
      </c>
      <c r="U34" s="114">
        <f t="shared" si="22"/>
        <v>0</v>
      </c>
      <c r="V34" s="114">
        <f t="shared" si="22"/>
        <v>0</v>
      </c>
      <c r="W34" s="114">
        <f t="shared" si="22"/>
        <v>0</v>
      </c>
      <c r="X34" s="114">
        <f t="shared" si="22"/>
        <v>0</v>
      </c>
      <c r="Y34" s="114">
        <f t="shared" si="22"/>
        <v>0</v>
      </c>
      <c r="Z34" s="114">
        <f t="shared" si="22"/>
        <v>0</v>
      </c>
      <c r="AA34" s="114">
        <f t="shared" si="22"/>
        <v>0</v>
      </c>
      <c r="AB34" s="114">
        <f t="shared" si="22"/>
        <v>0</v>
      </c>
      <c r="AC34" s="114">
        <f t="shared" si="22"/>
        <v>0</v>
      </c>
      <c r="AD34" s="114">
        <f t="shared" si="22"/>
        <v>0</v>
      </c>
      <c r="AE34" s="114">
        <f t="shared" si="22"/>
        <v>0</v>
      </c>
      <c r="AF34" s="114">
        <f t="shared" si="22"/>
        <v>0</v>
      </c>
      <c r="AG34" s="114">
        <f t="shared" si="22"/>
        <v>0</v>
      </c>
      <c r="AH34" s="115">
        <f t="shared" si="15"/>
        <v>0</v>
      </c>
      <c r="AJ34" s="76"/>
      <c r="AK34" s="62"/>
      <c r="AL34" s="76"/>
    </row>
    <row r="35" spans="2:38" ht="15" thickBot="1" x14ac:dyDescent="0.35">
      <c r="B35" s="15"/>
      <c r="C35" s="111">
        <f>C17</f>
        <v>7</v>
      </c>
      <c r="D35" s="117">
        <f>W17</f>
        <v>0</v>
      </c>
      <c r="E35" s="117">
        <f t="shared" si="21"/>
        <v>0</v>
      </c>
      <c r="F35" s="117">
        <f t="shared" si="21"/>
        <v>0</v>
      </c>
      <c r="G35" s="112">
        <f t="shared" si="16"/>
        <v>0</v>
      </c>
      <c r="H35" s="118"/>
      <c r="I35" s="114">
        <f>IF($H17&gt;=25,$G35,IF(I$28&lt;=$H17,$G35,IF(I$28&lt;=($H17*($AD17+1)),$G35,0)))-IF(I$28-1&lt;=($H17*$AD17),$F35,0)*IF(OR($AE17=0,$AE17&gt;25),0,IF(MOD(I$28,$H17)=0,1,0))</f>
        <v>0</v>
      </c>
      <c r="J35" s="114">
        <f t="shared" ref="J35:AG35" si="23">IF($H17&gt;=25,$G35,IF(J$28&lt;=$H17,$G35,IF(J$28&lt;=($H17*($AD17+1)),$G35,0)))-IF(J$28-1&lt;=($H17*$AD17),$F35,0)*IF(OR($AE17=0,$AE17&gt;25),0,IF(MOD(J$28-1,$H17)=0,1,0))</f>
        <v>0</v>
      </c>
      <c r="K35" s="114">
        <f t="shared" si="23"/>
        <v>0</v>
      </c>
      <c r="L35" s="114">
        <f t="shared" si="23"/>
        <v>0</v>
      </c>
      <c r="M35" s="114">
        <f t="shared" si="23"/>
        <v>0</v>
      </c>
      <c r="N35" s="114">
        <f t="shared" si="23"/>
        <v>0</v>
      </c>
      <c r="O35" s="114">
        <f t="shared" si="23"/>
        <v>0</v>
      </c>
      <c r="P35" s="114">
        <f t="shared" si="23"/>
        <v>0</v>
      </c>
      <c r="Q35" s="114">
        <f t="shared" si="23"/>
        <v>0</v>
      </c>
      <c r="R35" s="114">
        <f t="shared" si="23"/>
        <v>0</v>
      </c>
      <c r="S35" s="114">
        <f t="shared" si="23"/>
        <v>0</v>
      </c>
      <c r="T35" s="114">
        <f t="shared" si="23"/>
        <v>0</v>
      </c>
      <c r="U35" s="114">
        <f t="shared" si="23"/>
        <v>0</v>
      </c>
      <c r="V35" s="114">
        <f t="shared" si="23"/>
        <v>0</v>
      </c>
      <c r="W35" s="114">
        <f t="shared" si="23"/>
        <v>0</v>
      </c>
      <c r="X35" s="114">
        <f t="shared" si="23"/>
        <v>0</v>
      </c>
      <c r="Y35" s="114">
        <f t="shared" si="23"/>
        <v>0</v>
      </c>
      <c r="Z35" s="114">
        <f t="shared" si="23"/>
        <v>0</v>
      </c>
      <c r="AA35" s="114">
        <f t="shared" si="23"/>
        <v>0</v>
      </c>
      <c r="AB35" s="114">
        <f t="shared" si="23"/>
        <v>0</v>
      </c>
      <c r="AC35" s="114">
        <f t="shared" si="23"/>
        <v>0</v>
      </c>
      <c r="AD35" s="114">
        <f t="shared" si="23"/>
        <v>0</v>
      </c>
      <c r="AE35" s="114">
        <f t="shared" si="23"/>
        <v>0</v>
      </c>
      <c r="AF35" s="114">
        <f t="shared" si="23"/>
        <v>0</v>
      </c>
      <c r="AG35" s="114">
        <f t="shared" si="23"/>
        <v>0</v>
      </c>
      <c r="AH35" s="115">
        <f t="shared" si="15"/>
        <v>0</v>
      </c>
      <c r="AJ35" s="76"/>
      <c r="AK35" s="62"/>
      <c r="AL35" s="76"/>
    </row>
    <row r="36" spans="2:38" ht="15" thickBot="1" x14ac:dyDescent="0.35">
      <c r="B36" s="15"/>
      <c r="C36" s="111">
        <f>C18</f>
        <v>8</v>
      </c>
      <c r="D36" s="117">
        <f>W18</f>
        <v>0</v>
      </c>
      <c r="E36" s="117">
        <f t="shared" si="21"/>
        <v>0</v>
      </c>
      <c r="F36" s="117">
        <f t="shared" si="21"/>
        <v>0</v>
      </c>
      <c r="G36" s="112">
        <f t="shared" si="16"/>
        <v>0</v>
      </c>
      <c r="H36" s="118"/>
      <c r="I36" s="114">
        <f>IF($H18&gt;=25,$G36,IF(I$28&lt;=$H18,$G36,IF(I$28&lt;=($H18*($AD18+1)),$G36,0)))-IF(I$28-1&lt;=($H18*$AD18),$F36,0)*IF(OR($AE18=0,$AE18&gt;25),0,IF(MOD(I$28,$H18)=0,1,0))</f>
        <v>0</v>
      </c>
      <c r="J36" s="114">
        <f t="shared" ref="J36:AG36" si="24">IF($H18&gt;=25,$G36,IF(J$28&lt;=$H18,$G36,IF(J$28&lt;=($H18*($AD18+1)),$G36,0)))-IF(J$28-1&lt;=($H18*$AD18),$F36,0)*IF(OR($AE18=0,$AE18&gt;25),0,IF(MOD(J$28-1,$H18)=0,1,0))</f>
        <v>0</v>
      </c>
      <c r="K36" s="114">
        <f t="shared" si="24"/>
        <v>0</v>
      </c>
      <c r="L36" s="114">
        <f t="shared" si="24"/>
        <v>0</v>
      </c>
      <c r="M36" s="114">
        <f t="shared" si="24"/>
        <v>0</v>
      </c>
      <c r="N36" s="114">
        <f t="shared" si="24"/>
        <v>0</v>
      </c>
      <c r="O36" s="114">
        <f t="shared" si="24"/>
        <v>0</v>
      </c>
      <c r="P36" s="114">
        <f t="shared" si="24"/>
        <v>0</v>
      </c>
      <c r="Q36" s="114">
        <f t="shared" si="24"/>
        <v>0</v>
      </c>
      <c r="R36" s="114">
        <f t="shared" si="24"/>
        <v>0</v>
      </c>
      <c r="S36" s="114">
        <f t="shared" si="24"/>
        <v>0</v>
      </c>
      <c r="T36" s="114">
        <f t="shared" si="24"/>
        <v>0</v>
      </c>
      <c r="U36" s="114">
        <f t="shared" si="24"/>
        <v>0</v>
      </c>
      <c r="V36" s="114">
        <f t="shared" si="24"/>
        <v>0</v>
      </c>
      <c r="W36" s="114">
        <f t="shared" si="24"/>
        <v>0</v>
      </c>
      <c r="X36" s="114">
        <f t="shared" si="24"/>
        <v>0</v>
      </c>
      <c r="Y36" s="114">
        <f t="shared" si="24"/>
        <v>0</v>
      </c>
      <c r="Z36" s="114">
        <f t="shared" si="24"/>
        <v>0</v>
      </c>
      <c r="AA36" s="114">
        <f t="shared" si="24"/>
        <v>0</v>
      </c>
      <c r="AB36" s="114">
        <f t="shared" si="24"/>
        <v>0</v>
      </c>
      <c r="AC36" s="114">
        <f t="shared" si="24"/>
        <v>0</v>
      </c>
      <c r="AD36" s="114">
        <f t="shared" si="24"/>
        <v>0</v>
      </c>
      <c r="AE36" s="114">
        <f t="shared" si="24"/>
        <v>0</v>
      </c>
      <c r="AF36" s="114">
        <f t="shared" si="24"/>
        <v>0</v>
      </c>
      <c r="AG36" s="114">
        <f t="shared" si="24"/>
        <v>0</v>
      </c>
      <c r="AH36" s="115">
        <f t="shared" si="15"/>
        <v>0</v>
      </c>
      <c r="AJ36" s="76"/>
      <c r="AK36" s="62"/>
      <c r="AL36" s="76"/>
    </row>
    <row r="37" spans="2:38" ht="15" thickBot="1" x14ac:dyDescent="0.35">
      <c r="B37" s="15"/>
      <c r="C37" s="111"/>
      <c r="D37" s="119"/>
      <c r="E37" s="119"/>
      <c r="F37" s="119"/>
      <c r="G37" s="116"/>
      <c r="H37" s="120" t="s">
        <v>54</v>
      </c>
      <c r="I37" s="121">
        <f t="shared" ref="I37:AH37" si="25">SUM(I29:I36)</f>
        <v>0</v>
      </c>
      <c r="J37" s="121">
        <f t="shared" si="25"/>
        <v>0</v>
      </c>
      <c r="K37" s="121">
        <f t="shared" si="25"/>
        <v>0</v>
      </c>
      <c r="L37" s="121">
        <f t="shared" si="25"/>
        <v>0</v>
      </c>
      <c r="M37" s="121">
        <f t="shared" si="25"/>
        <v>0</v>
      </c>
      <c r="N37" s="121">
        <f t="shared" si="25"/>
        <v>0</v>
      </c>
      <c r="O37" s="121">
        <f t="shared" si="25"/>
        <v>0</v>
      </c>
      <c r="P37" s="121">
        <f t="shared" si="25"/>
        <v>0</v>
      </c>
      <c r="Q37" s="121">
        <f t="shared" si="25"/>
        <v>0</v>
      </c>
      <c r="R37" s="121">
        <f t="shared" si="25"/>
        <v>0</v>
      </c>
      <c r="S37" s="121">
        <f t="shared" si="25"/>
        <v>0</v>
      </c>
      <c r="T37" s="121">
        <f t="shared" si="25"/>
        <v>0</v>
      </c>
      <c r="U37" s="121">
        <f t="shared" si="25"/>
        <v>0</v>
      </c>
      <c r="V37" s="121">
        <f t="shared" si="25"/>
        <v>0</v>
      </c>
      <c r="W37" s="121">
        <f t="shared" si="25"/>
        <v>0</v>
      </c>
      <c r="X37" s="121">
        <f t="shared" si="25"/>
        <v>0</v>
      </c>
      <c r="Y37" s="121">
        <f t="shared" si="25"/>
        <v>0</v>
      </c>
      <c r="Z37" s="121">
        <f t="shared" si="25"/>
        <v>0</v>
      </c>
      <c r="AA37" s="121">
        <f t="shared" si="25"/>
        <v>0</v>
      </c>
      <c r="AB37" s="121">
        <f t="shared" si="25"/>
        <v>0</v>
      </c>
      <c r="AC37" s="121">
        <f t="shared" si="25"/>
        <v>0</v>
      </c>
      <c r="AD37" s="121">
        <f t="shared" si="25"/>
        <v>0</v>
      </c>
      <c r="AE37" s="121">
        <f t="shared" si="25"/>
        <v>0</v>
      </c>
      <c r="AF37" s="121">
        <f t="shared" si="25"/>
        <v>0</v>
      </c>
      <c r="AG37" s="121">
        <f t="shared" si="25"/>
        <v>0</v>
      </c>
      <c r="AH37" s="122">
        <f t="shared" si="25"/>
        <v>0</v>
      </c>
      <c r="AJ37" s="76"/>
      <c r="AK37" s="62"/>
      <c r="AL37" s="76"/>
    </row>
    <row r="38" spans="2:38" ht="15" thickBot="1" x14ac:dyDescent="0.35">
      <c r="B38" s="15"/>
      <c r="C38" s="111"/>
      <c r="D38" s="123"/>
      <c r="E38" s="123"/>
      <c r="F38" s="123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24"/>
      <c r="AJ38" s="76"/>
      <c r="AK38" s="62"/>
      <c r="AL38" s="76"/>
    </row>
    <row r="39" spans="2:38" ht="28.5" customHeight="1" thickBot="1" x14ac:dyDescent="0.35">
      <c r="B39" s="15"/>
      <c r="C39" s="107" t="s">
        <v>52</v>
      </c>
      <c r="D39" s="126" t="s">
        <v>191</v>
      </c>
      <c r="E39" s="126"/>
      <c r="F39" s="126"/>
      <c r="G39" s="971" t="s">
        <v>192</v>
      </c>
      <c r="H39" s="971"/>
      <c r="I39" s="109">
        <v>1</v>
      </c>
      <c r="J39" s="109">
        <v>2</v>
      </c>
      <c r="K39" s="109">
        <v>3</v>
      </c>
      <c r="L39" s="109">
        <v>4</v>
      </c>
      <c r="M39" s="109">
        <v>5</v>
      </c>
      <c r="N39" s="109">
        <v>6</v>
      </c>
      <c r="O39" s="109">
        <v>7</v>
      </c>
      <c r="P39" s="109">
        <v>8</v>
      </c>
      <c r="Q39" s="109">
        <v>9</v>
      </c>
      <c r="R39" s="109">
        <v>10</v>
      </c>
      <c r="S39" s="109">
        <v>11</v>
      </c>
      <c r="T39" s="109">
        <v>12</v>
      </c>
      <c r="U39" s="109">
        <v>13</v>
      </c>
      <c r="V39" s="109">
        <v>14</v>
      </c>
      <c r="W39" s="109">
        <v>15</v>
      </c>
      <c r="X39" s="109">
        <v>16</v>
      </c>
      <c r="Y39" s="109">
        <v>17</v>
      </c>
      <c r="Z39" s="109">
        <v>18</v>
      </c>
      <c r="AA39" s="109">
        <v>19</v>
      </c>
      <c r="AB39" s="109">
        <v>20</v>
      </c>
      <c r="AC39" s="109">
        <v>21</v>
      </c>
      <c r="AD39" s="109">
        <v>22</v>
      </c>
      <c r="AE39" s="109">
        <v>23</v>
      </c>
      <c r="AF39" s="109">
        <v>24</v>
      </c>
      <c r="AG39" s="109">
        <v>25</v>
      </c>
      <c r="AH39" s="110" t="s">
        <v>53</v>
      </c>
      <c r="AJ39" s="76"/>
      <c r="AK39" s="62"/>
      <c r="AL39" s="76"/>
    </row>
    <row r="40" spans="2:38" ht="15" thickBot="1" x14ac:dyDescent="0.35">
      <c r="B40" s="15"/>
      <c r="C40" s="127">
        <f t="shared" ref="C40:C47" si="26">C29</f>
        <v>1</v>
      </c>
      <c r="D40" s="422">
        <f>V10</f>
        <v>0</v>
      </c>
      <c r="E40" s="423"/>
      <c r="F40" s="423"/>
      <c r="G40" s="422">
        <f>IF(D40="","",D40-E40-F40)</f>
        <v>0</v>
      </c>
      <c r="H40" s="116"/>
      <c r="I40" s="417">
        <f t="shared" ref="I40:AG40" si="27">IF($H10&gt;=25,$G40,IF(I$39&lt;=$H10,$G40,IF(I$39&lt;=($H10*($AD10+1)),$G40,0)))</f>
        <v>0</v>
      </c>
      <c r="J40" s="417">
        <f t="shared" si="27"/>
        <v>0</v>
      </c>
      <c r="K40" s="417">
        <f t="shared" si="27"/>
        <v>0</v>
      </c>
      <c r="L40" s="417">
        <f t="shared" si="27"/>
        <v>0</v>
      </c>
      <c r="M40" s="417">
        <f t="shared" si="27"/>
        <v>0</v>
      </c>
      <c r="N40" s="417">
        <f t="shared" si="27"/>
        <v>0</v>
      </c>
      <c r="O40" s="417">
        <f t="shared" si="27"/>
        <v>0</v>
      </c>
      <c r="P40" s="417">
        <f t="shared" si="27"/>
        <v>0</v>
      </c>
      <c r="Q40" s="417">
        <f t="shared" si="27"/>
        <v>0</v>
      </c>
      <c r="R40" s="417">
        <f t="shared" si="27"/>
        <v>0</v>
      </c>
      <c r="S40" s="417">
        <f t="shared" si="27"/>
        <v>0</v>
      </c>
      <c r="T40" s="417">
        <f t="shared" si="27"/>
        <v>0</v>
      </c>
      <c r="U40" s="417">
        <f t="shared" si="27"/>
        <v>0</v>
      </c>
      <c r="V40" s="417">
        <f t="shared" si="27"/>
        <v>0</v>
      </c>
      <c r="W40" s="417">
        <f t="shared" si="27"/>
        <v>0</v>
      </c>
      <c r="X40" s="417">
        <f t="shared" si="27"/>
        <v>0</v>
      </c>
      <c r="Y40" s="417">
        <f t="shared" si="27"/>
        <v>0</v>
      </c>
      <c r="Z40" s="417">
        <f t="shared" si="27"/>
        <v>0</v>
      </c>
      <c r="AA40" s="417">
        <f t="shared" si="27"/>
        <v>0</v>
      </c>
      <c r="AB40" s="417">
        <f t="shared" si="27"/>
        <v>0</v>
      </c>
      <c r="AC40" s="417">
        <f t="shared" si="27"/>
        <v>0</v>
      </c>
      <c r="AD40" s="417">
        <f t="shared" si="27"/>
        <v>0</v>
      </c>
      <c r="AE40" s="417">
        <f t="shared" si="27"/>
        <v>0</v>
      </c>
      <c r="AF40" s="417">
        <f t="shared" si="27"/>
        <v>0</v>
      </c>
      <c r="AG40" s="417">
        <f t="shared" si="27"/>
        <v>0</v>
      </c>
      <c r="AH40" s="418">
        <f t="shared" ref="AH40:AH47" si="28">SUM(I40:AG40)</f>
        <v>0</v>
      </c>
      <c r="AJ40" s="76"/>
      <c r="AK40" s="62"/>
      <c r="AL40" s="76"/>
    </row>
    <row r="41" spans="2:38" ht="15" thickBot="1" x14ac:dyDescent="0.35">
      <c r="B41" s="15"/>
      <c r="C41" s="127">
        <f t="shared" si="26"/>
        <v>2</v>
      </c>
      <c r="D41" s="422">
        <f>V11</f>
        <v>0</v>
      </c>
      <c r="E41" s="423"/>
      <c r="F41" s="423"/>
      <c r="G41" s="422">
        <f t="shared" ref="G41:G47" si="29">IF(D41="","",D41-E41-F41)</f>
        <v>0</v>
      </c>
      <c r="H41" s="116"/>
      <c r="I41" s="417">
        <f t="shared" ref="I41:AG41" si="30">IF($H11&gt;=25,$G41,IF(I$39&lt;=$H11,$G41,IF(I$39&lt;=($H11*($AD11+1)),$G41,0)))</f>
        <v>0</v>
      </c>
      <c r="J41" s="417">
        <f t="shared" si="30"/>
        <v>0</v>
      </c>
      <c r="K41" s="417">
        <f t="shared" si="30"/>
        <v>0</v>
      </c>
      <c r="L41" s="417">
        <f t="shared" si="30"/>
        <v>0</v>
      </c>
      <c r="M41" s="417">
        <f t="shared" si="30"/>
        <v>0</v>
      </c>
      <c r="N41" s="417">
        <f t="shared" si="30"/>
        <v>0</v>
      </c>
      <c r="O41" s="417">
        <f t="shared" si="30"/>
        <v>0</v>
      </c>
      <c r="P41" s="417">
        <f t="shared" si="30"/>
        <v>0</v>
      </c>
      <c r="Q41" s="417">
        <f t="shared" si="30"/>
        <v>0</v>
      </c>
      <c r="R41" s="417">
        <f t="shared" si="30"/>
        <v>0</v>
      </c>
      <c r="S41" s="417">
        <f t="shared" si="30"/>
        <v>0</v>
      </c>
      <c r="T41" s="417">
        <f t="shared" si="30"/>
        <v>0</v>
      </c>
      <c r="U41" s="417">
        <f t="shared" si="30"/>
        <v>0</v>
      </c>
      <c r="V41" s="417">
        <f t="shared" si="30"/>
        <v>0</v>
      </c>
      <c r="W41" s="417">
        <f t="shared" si="30"/>
        <v>0</v>
      </c>
      <c r="X41" s="417">
        <f t="shared" si="30"/>
        <v>0</v>
      </c>
      <c r="Y41" s="417">
        <f t="shared" si="30"/>
        <v>0</v>
      </c>
      <c r="Z41" s="417">
        <f t="shared" si="30"/>
        <v>0</v>
      </c>
      <c r="AA41" s="417">
        <f t="shared" si="30"/>
        <v>0</v>
      </c>
      <c r="AB41" s="417">
        <f t="shared" si="30"/>
        <v>0</v>
      </c>
      <c r="AC41" s="417">
        <f t="shared" si="30"/>
        <v>0</v>
      </c>
      <c r="AD41" s="417">
        <f t="shared" si="30"/>
        <v>0</v>
      </c>
      <c r="AE41" s="417">
        <f t="shared" si="30"/>
        <v>0</v>
      </c>
      <c r="AF41" s="417">
        <f t="shared" si="30"/>
        <v>0</v>
      </c>
      <c r="AG41" s="417">
        <f t="shared" si="30"/>
        <v>0</v>
      </c>
      <c r="AH41" s="418">
        <f t="shared" si="28"/>
        <v>0</v>
      </c>
      <c r="AJ41" s="76"/>
      <c r="AK41" s="62"/>
      <c r="AL41" s="76"/>
    </row>
    <row r="42" spans="2:38" ht="15" thickBot="1" x14ac:dyDescent="0.35">
      <c r="B42" s="15"/>
      <c r="C42" s="127">
        <f t="shared" si="26"/>
        <v>3</v>
      </c>
      <c r="D42" s="422">
        <f>V12</f>
        <v>0</v>
      </c>
      <c r="E42" s="423"/>
      <c r="F42" s="423"/>
      <c r="G42" s="422">
        <f t="shared" si="29"/>
        <v>0</v>
      </c>
      <c r="H42" s="116"/>
      <c r="I42" s="417">
        <f t="shared" ref="I42:AG42" si="31">IF($H12&gt;=25,$G42,IF(I$39&lt;=$H12,$G42,IF(I$39&lt;=($H12*($AD12+1)),$G42,0)))</f>
        <v>0</v>
      </c>
      <c r="J42" s="417">
        <f t="shared" si="31"/>
        <v>0</v>
      </c>
      <c r="K42" s="417">
        <f t="shared" si="31"/>
        <v>0</v>
      </c>
      <c r="L42" s="417">
        <f t="shared" si="31"/>
        <v>0</v>
      </c>
      <c r="M42" s="417">
        <f t="shared" si="31"/>
        <v>0</v>
      </c>
      <c r="N42" s="417">
        <f t="shared" si="31"/>
        <v>0</v>
      </c>
      <c r="O42" s="417">
        <f t="shared" si="31"/>
        <v>0</v>
      </c>
      <c r="P42" s="417">
        <f t="shared" si="31"/>
        <v>0</v>
      </c>
      <c r="Q42" s="417">
        <f t="shared" si="31"/>
        <v>0</v>
      </c>
      <c r="R42" s="417">
        <f t="shared" si="31"/>
        <v>0</v>
      </c>
      <c r="S42" s="417">
        <f t="shared" si="31"/>
        <v>0</v>
      </c>
      <c r="T42" s="417">
        <f t="shared" si="31"/>
        <v>0</v>
      </c>
      <c r="U42" s="417">
        <f t="shared" si="31"/>
        <v>0</v>
      </c>
      <c r="V42" s="417">
        <f t="shared" si="31"/>
        <v>0</v>
      </c>
      <c r="W42" s="417">
        <f t="shared" si="31"/>
        <v>0</v>
      </c>
      <c r="X42" s="417">
        <f t="shared" si="31"/>
        <v>0</v>
      </c>
      <c r="Y42" s="417">
        <f t="shared" si="31"/>
        <v>0</v>
      </c>
      <c r="Z42" s="417">
        <f t="shared" si="31"/>
        <v>0</v>
      </c>
      <c r="AA42" s="417">
        <f t="shared" si="31"/>
        <v>0</v>
      </c>
      <c r="AB42" s="417">
        <f t="shared" si="31"/>
        <v>0</v>
      </c>
      <c r="AC42" s="417">
        <f t="shared" si="31"/>
        <v>0</v>
      </c>
      <c r="AD42" s="417">
        <f t="shared" si="31"/>
        <v>0</v>
      </c>
      <c r="AE42" s="417">
        <f t="shared" si="31"/>
        <v>0</v>
      </c>
      <c r="AF42" s="417">
        <f t="shared" si="31"/>
        <v>0</v>
      </c>
      <c r="AG42" s="417">
        <f t="shared" si="31"/>
        <v>0</v>
      </c>
      <c r="AH42" s="418">
        <f t="shared" si="28"/>
        <v>0</v>
      </c>
      <c r="AJ42" s="76"/>
      <c r="AK42" s="62"/>
      <c r="AL42" s="76"/>
    </row>
    <row r="43" spans="2:38" ht="15" thickBot="1" x14ac:dyDescent="0.35">
      <c r="B43" s="15"/>
      <c r="C43" s="127">
        <f t="shared" si="26"/>
        <v>4</v>
      </c>
      <c r="D43" s="422">
        <f>V13</f>
        <v>0</v>
      </c>
      <c r="E43" s="423"/>
      <c r="F43" s="423"/>
      <c r="G43" s="422">
        <f t="shared" si="29"/>
        <v>0</v>
      </c>
      <c r="H43" s="116"/>
      <c r="I43" s="417">
        <f t="shared" ref="I43:AG43" si="32">IF($H13&gt;=25,$G43,IF(I$39&lt;=$H13,$G43,IF(I$39&lt;=($H13*($AD13+1)),$G43,0)))</f>
        <v>0</v>
      </c>
      <c r="J43" s="417">
        <f t="shared" si="32"/>
        <v>0</v>
      </c>
      <c r="K43" s="417">
        <f t="shared" si="32"/>
        <v>0</v>
      </c>
      <c r="L43" s="417">
        <f t="shared" si="32"/>
        <v>0</v>
      </c>
      <c r="M43" s="417">
        <f t="shared" si="32"/>
        <v>0</v>
      </c>
      <c r="N43" s="417">
        <f t="shared" si="32"/>
        <v>0</v>
      </c>
      <c r="O43" s="417">
        <f t="shared" si="32"/>
        <v>0</v>
      </c>
      <c r="P43" s="417">
        <f t="shared" si="32"/>
        <v>0</v>
      </c>
      <c r="Q43" s="417">
        <f t="shared" si="32"/>
        <v>0</v>
      </c>
      <c r="R43" s="417">
        <f t="shared" si="32"/>
        <v>0</v>
      </c>
      <c r="S43" s="417">
        <f t="shared" si="32"/>
        <v>0</v>
      </c>
      <c r="T43" s="417">
        <f t="shared" si="32"/>
        <v>0</v>
      </c>
      <c r="U43" s="417">
        <f t="shared" si="32"/>
        <v>0</v>
      </c>
      <c r="V43" s="417">
        <f t="shared" si="32"/>
        <v>0</v>
      </c>
      <c r="W43" s="417">
        <f t="shared" si="32"/>
        <v>0</v>
      </c>
      <c r="X43" s="417">
        <f t="shared" si="32"/>
        <v>0</v>
      </c>
      <c r="Y43" s="417">
        <f t="shared" si="32"/>
        <v>0</v>
      </c>
      <c r="Z43" s="417">
        <f t="shared" si="32"/>
        <v>0</v>
      </c>
      <c r="AA43" s="417">
        <f t="shared" si="32"/>
        <v>0</v>
      </c>
      <c r="AB43" s="417">
        <f t="shared" si="32"/>
        <v>0</v>
      </c>
      <c r="AC43" s="417">
        <f t="shared" si="32"/>
        <v>0</v>
      </c>
      <c r="AD43" s="417">
        <f t="shared" si="32"/>
        <v>0</v>
      </c>
      <c r="AE43" s="417">
        <f t="shared" si="32"/>
        <v>0</v>
      </c>
      <c r="AF43" s="417">
        <f t="shared" si="32"/>
        <v>0</v>
      </c>
      <c r="AG43" s="417">
        <f t="shared" si="32"/>
        <v>0</v>
      </c>
      <c r="AH43" s="418">
        <f t="shared" si="28"/>
        <v>0</v>
      </c>
      <c r="AJ43" s="76"/>
      <c r="AK43" s="62"/>
      <c r="AL43" s="76"/>
    </row>
    <row r="44" spans="2:38" ht="15" thickBot="1" x14ac:dyDescent="0.35">
      <c r="B44" s="15"/>
      <c r="C44" s="129">
        <f t="shared" si="26"/>
        <v>5</v>
      </c>
      <c r="D44" s="422">
        <f>V14</f>
        <v>0</v>
      </c>
      <c r="E44" s="423"/>
      <c r="F44" s="423"/>
      <c r="G44" s="422">
        <f t="shared" si="29"/>
        <v>0</v>
      </c>
      <c r="H44" s="116"/>
      <c r="I44" s="417">
        <f t="shared" ref="I44:AG44" si="33">IF($H14&gt;=25,$G44,IF(I$39&lt;=$H14,$G44,IF(I$39&lt;=($H14*($AD14+1)),$G44,0)))</f>
        <v>0</v>
      </c>
      <c r="J44" s="417">
        <f t="shared" si="33"/>
        <v>0</v>
      </c>
      <c r="K44" s="417">
        <f t="shared" si="33"/>
        <v>0</v>
      </c>
      <c r="L44" s="417">
        <f t="shared" si="33"/>
        <v>0</v>
      </c>
      <c r="M44" s="417">
        <f t="shared" si="33"/>
        <v>0</v>
      </c>
      <c r="N44" s="417">
        <f t="shared" si="33"/>
        <v>0</v>
      </c>
      <c r="O44" s="417">
        <f t="shared" si="33"/>
        <v>0</v>
      </c>
      <c r="P44" s="417">
        <f t="shared" si="33"/>
        <v>0</v>
      </c>
      <c r="Q44" s="417">
        <f t="shared" si="33"/>
        <v>0</v>
      </c>
      <c r="R44" s="417">
        <f t="shared" si="33"/>
        <v>0</v>
      </c>
      <c r="S44" s="417">
        <f t="shared" si="33"/>
        <v>0</v>
      </c>
      <c r="T44" s="417">
        <f t="shared" si="33"/>
        <v>0</v>
      </c>
      <c r="U44" s="417">
        <f t="shared" si="33"/>
        <v>0</v>
      </c>
      <c r="V44" s="417">
        <f t="shared" si="33"/>
        <v>0</v>
      </c>
      <c r="W44" s="417">
        <f t="shared" si="33"/>
        <v>0</v>
      </c>
      <c r="X44" s="417">
        <f t="shared" si="33"/>
        <v>0</v>
      </c>
      <c r="Y44" s="417">
        <f t="shared" si="33"/>
        <v>0</v>
      </c>
      <c r="Z44" s="417">
        <f t="shared" si="33"/>
        <v>0</v>
      </c>
      <c r="AA44" s="417">
        <f t="shared" si="33"/>
        <v>0</v>
      </c>
      <c r="AB44" s="417">
        <f t="shared" si="33"/>
        <v>0</v>
      </c>
      <c r="AC44" s="417">
        <f t="shared" si="33"/>
        <v>0</v>
      </c>
      <c r="AD44" s="417">
        <f t="shared" si="33"/>
        <v>0</v>
      </c>
      <c r="AE44" s="417">
        <f t="shared" si="33"/>
        <v>0</v>
      </c>
      <c r="AF44" s="417">
        <f t="shared" si="33"/>
        <v>0</v>
      </c>
      <c r="AG44" s="417">
        <f t="shared" si="33"/>
        <v>0</v>
      </c>
      <c r="AH44" s="418">
        <f t="shared" si="28"/>
        <v>0</v>
      </c>
      <c r="AJ44" s="76"/>
      <c r="AK44" s="62"/>
      <c r="AL44" s="76"/>
    </row>
    <row r="45" spans="2:38" ht="15" thickBot="1" x14ac:dyDescent="0.35">
      <c r="B45" s="15"/>
      <c r="C45" s="129">
        <f t="shared" si="26"/>
        <v>6</v>
      </c>
      <c r="D45" s="422">
        <f>V16</f>
        <v>0</v>
      </c>
      <c r="E45" s="425"/>
      <c r="F45" s="425"/>
      <c r="G45" s="422">
        <f t="shared" si="29"/>
        <v>0</v>
      </c>
      <c r="H45" s="118"/>
      <c r="I45" s="417">
        <f t="shared" ref="I45:AG45" si="34">IF($H16&gt;=25,$G45,IF(I$39&lt;=$H16,$G45,IF(I$39&lt;=($H16*($AD16+1)),$G45,0)))</f>
        <v>0</v>
      </c>
      <c r="J45" s="417">
        <f t="shared" si="34"/>
        <v>0</v>
      </c>
      <c r="K45" s="417">
        <f t="shared" si="34"/>
        <v>0</v>
      </c>
      <c r="L45" s="417">
        <f t="shared" si="34"/>
        <v>0</v>
      </c>
      <c r="M45" s="417">
        <f t="shared" si="34"/>
        <v>0</v>
      </c>
      <c r="N45" s="417">
        <f t="shared" si="34"/>
        <v>0</v>
      </c>
      <c r="O45" s="417">
        <f t="shared" si="34"/>
        <v>0</v>
      </c>
      <c r="P45" s="417">
        <f t="shared" si="34"/>
        <v>0</v>
      </c>
      <c r="Q45" s="417">
        <f t="shared" si="34"/>
        <v>0</v>
      </c>
      <c r="R45" s="417">
        <f t="shared" si="34"/>
        <v>0</v>
      </c>
      <c r="S45" s="417">
        <f t="shared" si="34"/>
        <v>0</v>
      </c>
      <c r="T45" s="417">
        <f t="shared" si="34"/>
        <v>0</v>
      </c>
      <c r="U45" s="417">
        <f t="shared" si="34"/>
        <v>0</v>
      </c>
      <c r="V45" s="417">
        <f t="shared" si="34"/>
        <v>0</v>
      </c>
      <c r="W45" s="417">
        <f t="shared" si="34"/>
        <v>0</v>
      </c>
      <c r="X45" s="417">
        <f t="shared" si="34"/>
        <v>0</v>
      </c>
      <c r="Y45" s="417">
        <f t="shared" si="34"/>
        <v>0</v>
      </c>
      <c r="Z45" s="417">
        <f t="shared" si="34"/>
        <v>0</v>
      </c>
      <c r="AA45" s="417">
        <f t="shared" si="34"/>
        <v>0</v>
      </c>
      <c r="AB45" s="417">
        <f t="shared" si="34"/>
        <v>0</v>
      </c>
      <c r="AC45" s="417">
        <f t="shared" si="34"/>
        <v>0</v>
      </c>
      <c r="AD45" s="417">
        <f t="shared" si="34"/>
        <v>0</v>
      </c>
      <c r="AE45" s="417">
        <f t="shared" si="34"/>
        <v>0</v>
      </c>
      <c r="AF45" s="417">
        <f t="shared" si="34"/>
        <v>0</v>
      </c>
      <c r="AG45" s="417">
        <f t="shared" si="34"/>
        <v>0</v>
      </c>
      <c r="AH45" s="418">
        <f t="shared" si="28"/>
        <v>0</v>
      </c>
      <c r="AJ45" s="76"/>
      <c r="AK45" s="62"/>
      <c r="AL45" s="76"/>
    </row>
    <row r="46" spans="2:38" ht="15" thickBot="1" x14ac:dyDescent="0.35">
      <c r="B46" s="15"/>
      <c r="C46" s="129">
        <f t="shared" si="26"/>
        <v>7</v>
      </c>
      <c r="D46" s="422">
        <f>V17</f>
        <v>0</v>
      </c>
      <c r="E46" s="425"/>
      <c r="F46" s="425"/>
      <c r="G46" s="422">
        <f t="shared" si="29"/>
        <v>0</v>
      </c>
      <c r="H46" s="118"/>
      <c r="I46" s="417">
        <f t="shared" ref="I46:AG46" si="35">IF($H17&gt;=25,$G46,IF(I$39&lt;=$H17,$G46,IF(I$39&lt;=($H17*($AD17+1)),$G46,0)))</f>
        <v>0</v>
      </c>
      <c r="J46" s="417">
        <f t="shared" si="35"/>
        <v>0</v>
      </c>
      <c r="K46" s="417">
        <f t="shared" si="35"/>
        <v>0</v>
      </c>
      <c r="L46" s="417">
        <f t="shared" si="35"/>
        <v>0</v>
      </c>
      <c r="M46" s="417">
        <f t="shared" si="35"/>
        <v>0</v>
      </c>
      <c r="N46" s="417">
        <f t="shared" si="35"/>
        <v>0</v>
      </c>
      <c r="O46" s="417">
        <f t="shared" si="35"/>
        <v>0</v>
      </c>
      <c r="P46" s="417">
        <f t="shared" si="35"/>
        <v>0</v>
      </c>
      <c r="Q46" s="417">
        <f t="shared" si="35"/>
        <v>0</v>
      </c>
      <c r="R46" s="417">
        <f t="shared" si="35"/>
        <v>0</v>
      </c>
      <c r="S46" s="417">
        <f t="shared" si="35"/>
        <v>0</v>
      </c>
      <c r="T46" s="417">
        <f t="shared" si="35"/>
        <v>0</v>
      </c>
      <c r="U46" s="417">
        <f t="shared" si="35"/>
        <v>0</v>
      </c>
      <c r="V46" s="417">
        <f t="shared" si="35"/>
        <v>0</v>
      </c>
      <c r="W46" s="417">
        <f t="shared" si="35"/>
        <v>0</v>
      </c>
      <c r="X46" s="417">
        <f t="shared" si="35"/>
        <v>0</v>
      </c>
      <c r="Y46" s="417">
        <f t="shared" si="35"/>
        <v>0</v>
      </c>
      <c r="Z46" s="417">
        <f t="shared" si="35"/>
        <v>0</v>
      </c>
      <c r="AA46" s="417">
        <f t="shared" si="35"/>
        <v>0</v>
      </c>
      <c r="AB46" s="417">
        <f t="shared" si="35"/>
        <v>0</v>
      </c>
      <c r="AC46" s="417">
        <f t="shared" si="35"/>
        <v>0</v>
      </c>
      <c r="AD46" s="417">
        <f t="shared" si="35"/>
        <v>0</v>
      </c>
      <c r="AE46" s="417">
        <f t="shared" si="35"/>
        <v>0</v>
      </c>
      <c r="AF46" s="417">
        <f t="shared" si="35"/>
        <v>0</v>
      </c>
      <c r="AG46" s="417">
        <f t="shared" si="35"/>
        <v>0</v>
      </c>
      <c r="AH46" s="418">
        <f t="shared" si="28"/>
        <v>0</v>
      </c>
      <c r="AJ46" s="76"/>
      <c r="AK46" s="62"/>
      <c r="AL46" s="76"/>
    </row>
    <row r="47" spans="2:38" ht="15" thickBot="1" x14ac:dyDescent="0.35">
      <c r="B47" s="15"/>
      <c r="C47" s="129">
        <f t="shared" si="26"/>
        <v>8</v>
      </c>
      <c r="D47" s="422">
        <f>V18</f>
        <v>0</v>
      </c>
      <c r="E47" s="425"/>
      <c r="F47" s="425"/>
      <c r="G47" s="422">
        <f t="shared" si="29"/>
        <v>0</v>
      </c>
      <c r="H47" s="118"/>
      <c r="I47" s="417">
        <f t="shared" ref="I47:AG47" si="36">IF($H18&gt;=25,$G47,IF(I$39&lt;=$H18,$G47,IF(I$39&lt;=($H18*($AD18+1)),$G47,0)))</f>
        <v>0</v>
      </c>
      <c r="J47" s="417">
        <f t="shared" si="36"/>
        <v>0</v>
      </c>
      <c r="K47" s="417">
        <f t="shared" si="36"/>
        <v>0</v>
      </c>
      <c r="L47" s="417">
        <f t="shared" si="36"/>
        <v>0</v>
      </c>
      <c r="M47" s="417">
        <f t="shared" si="36"/>
        <v>0</v>
      </c>
      <c r="N47" s="417">
        <f t="shared" si="36"/>
        <v>0</v>
      </c>
      <c r="O47" s="417">
        <f t="shared" si="36"/>
        <v>0</v>
      </c>
      <c r="P47" s="417">
        <f t="shared" si="36"/>
        <v>0</v>
      </c>
      <c r="Q47" s="417">
        <f t="shared" si="36"/>
        <v>0</v>
      </c>
      <c r="R47" s="417">
        <f t="shared" si="36"/>
        <v>0</v>
      </c>
      <c r="S47" s="417">
        <f t="shared" si="36"/>
        <v>0</v>
      </c>
      <c r="T47" s="417">
        <f t="shared" si="36"/>
        <v>0</v>
      </c>
      <c r="U47" s="417">
        <f t="shared" si="36"/>
        <v>0</v>
      </c>
      <c r="V47" s="417">
        <f t="shared" si="36"/>
        <v>0</v>
      </c>
      <c r="W47" s="417">
        <f t="shared" si="36"/>
        <v>0</v>
      </c>
      <c r="X47" s="417">
        <f t="shared" si="36"/>
        <v>0</v>
      </c>
      <c r="Y47" s="417">
        <f t="shared" si="36"/>
        <v>0</v>
      </c>
      <c r="Z47" s="417">
        <f t="shared" si="36"/>
        <v>0</v>
      </c>
      <c r="AA47" s="417">
        <f t="shared" si="36"/>
        <v>0</v>
      </c>
      <c r="AB47" s="417">
        <f t="shared" si="36"/>
        <v>0</v>
      </c>
      <c r="AC47" s="417">
        <f t="shared" si="36"/>
        <v>0</v>
      </c>
      <c r="AD47" s="417">
        <f t="shared" si="36"/>
        <v>0</v>
      </c>
      <c r="AE47" s="417">
        <f t="shared" si="36"/>
        <v>0</v>
      </c>
      <c r="AF47" s="417">
        <f t="shared" si="36"/>
        <v>0</v>
      </c>
      <c r="AG47" s="417">
        <f t="shared" si="36"/>
        <v>0</v>
      </c>
      <c r="AH47" s="418">
        <f t="shared" si="28"/>
        <v>0</v>
      </c>
      <c r="AK47" s="12"/>
    </row>
    <row r="48" spans="2:38" ht="15" thickBot="1" x14ac:dyDescent="0.35">
      <c r="B48" s="15"/>
      <c r="C48" s="131"/>
      <c r="D48" s="128"/>
      <c r="E48" s="128"/>
      <c r="F48" s="128"/>
      <c r="G48" s="116"/>
      <c r="H48" s="120" t="s">
        <v>54</v>
      </c>
      <c r="I48" s="420">
        <f t="shared" ref="I48:AH48" si="37">SUM(I40:I47)</f>
        <v>0</v>
      </c>
      <c r="J48" s="420">
        <f t="shared" si="37"/>
        <v>0</v>
      </c>
      <c r="K48" s="420">
        <f t="shared" si="37"/>
        <v>0</v>
      </c>
      <c r="L48" s="420">
        <f t="shared" si="37"/>
        <v>0</v>
      </c>
      <c r="M48" s="420">
        <f t="shared" si="37"/>
        <v>0</v>
      </c>
      <c r="N48" s="420">
        <f t="shared" si="37"/>
        <v>0</v>
      </c>
      <c r="O48" s="420">
        <f t="shared" si="37"/>
        <v>0</v>
      </c>
      <c r="P48" s="420">
        <f t="shared" si="37"/>
        <v>0</v>
      </c>
      <c r="Q48" s="420">
        <f t="shared" si="37"/>
        <v>0</v>
      </c>
      <c r="R48" s="420">
        <f t="shared" si="37"/>
        <v>0</v>
      </c>
      <c r="S48" s="420">
        <f t="shared" si="37"/>
        <v>0</v>
      </c>
      <c r="T48" s="420">
        <f t="shared" si="37"/>
        <v>0</v>
      </c>
      <c r="U48" s="420">
        <f t="shared" si="37"/>
        <v>0</v>
      </c>
      <c r="V48" s="420">
        <f t="shared" si="37"/>
        <v>0</v>
      </c>
      <c r="W48" s="420">
        <f t="shared" si="37"/>
        <v>0</v>
      </c>
      <c r="X48" s="420">
        <f t="shared" si="37"/>
        <v>0</v>
      </c>
      <c r="Y48" s="420">
        <f t="shared" si="37"/>
        <v>0</v>
      </c>
      <c r="Z48" s="420">
        <f t="shared" si="37"/>
        <v>0</v>
      </c>
      <c r="AA48" s="420">
        <f t="shared" si="37"/>
        <v>0</v>
      </c>
      <c r="AB48" s="420">
        <f t="shared" si="37"/>
        <v>0</v>
      </c>
      <c r="AC48" s="420">
        <f t="shared" si="37"/>
        <v>0</v>
      </c>
      <c r="AD48" s="420">
        <f t="shared" si="37"/>
        <v>0</v>
      </c>
      <c r="AE48" s="420">
        <f t="shared" si="37"/>
        <v>0</v>
      </c>
      <c r="AF48" s="420">
        <f t="shared" si="37"/>
        <v>0</v>
      </c>
      <c r="AG48" s="420">
        <f t="shared" si="37"/>
        <v>0</v>
      </c>
      <c r="AH48" s="421">
        <f t="shared" si="37"/>
        <v>0</v>
      </c>
      <c r="AK48" s="12"/>
    </row>
    <row r="49" spans="2:40" ht="24.75" customHeight="1" thickBot="1" x14ac:dyDescent="0.35">
      <c r="B49" s="15"/>
      <c r="C49" s="133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5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7"/>
      <c r="AJ49" s="76"/>
      <c r="AK49" s="12"/>
      <c r="AL49" s="76"/>
    </row>
    <row r="50" spans="2:40" ht="24.75" customHeight="1" x14ac:dyDescent="0.3">
      <c r="B50" s="15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J50" s="76"/>
      <c r="AK50" s="12"/>
      <c r="AL50" s="76"/>
    </row>
    <row r="51" spans="2:40" x14ac:dyDescent="0.3">
      <c r="B51" s="15"/>
      <c r="C51" s="2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J51" s="76"/>
      <c r="AK51" s="12"/>
      <c r="AL51" s="76"/>
    </row>
    <row r="52" spans="2:40" x14ac:dyDescent="0.3">
      <c r="B52" s="15"/>
      <c r="C52" s="2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J52" s="76"/>
      <c r="AK52" s="12"/>
      <c r="AL52" s="76"/>
    </row>
    <row r="53" spans="2:40" ht="15" thickBot="1" x14ac:dyDescent="0.35">
      <c r="B53" s="139"/>
      <c r="C53" s="14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30"/>
      <c r="AL53" s="146"/>
      <c r="AM53" s="146"/>
      <c r="AN53" s="146"/>
    </row>
    <row r="54" spans="2:40" x14ac:dyDescent="0.3">
      <c r="AC54" s="3"/>
      <c r="AD54" s="3"/>
      <c r="AJ54" s="76"/>
      <c r="AK54" s="76"/>
      <c r="AL54" s="146"/>
      <c r="AM54" s="146"/>
      <c r="AN54" s="146"/>
    </row>
    <row r="55" spans="2:40" x14ac:dyDescent="0.3">
      <c r="AC55" s="3"/>
      <c r="AD55" s="3"/>
      <c r="AJ55" s="76"/>
      <c r="AK55" s="76"/>
      <c r="AL55" s="146"/>
      <c r="AM55" s="146"/>
      <c r="AN55" s="146"/>
    </row>
    <row r="56" spans="2:40" x14ac:dyDescent="0.3">
      <c r="AJ56" s="76"/>
      <c r="AK56" s="76"/>
      <c r="AL56" s="146"/>
      <c r="AM56" s="146"/>
      <c r="AN56" s="146"/>
    </row>
    <row r="57" spans="2:40" x14ac:dyDescent="0.3">
      <c r="AJ57" s="76"/>
      <c r="AK57" s="76"/>
      <c r="AL57" s="76"/>
    </row>
    <row r="58" spans="2:40" x14ac:dyDescent="0.3">
      <c r="AJ58" s="76"/>
      <c r="AK58" s="76"/>
      <c r="AL58" s="76"/>
    </row>
    <row r="59" spans="2:40" x14ac:dyDescent="0.3">
      <c r="AJ59" s="76"/>
      <c r="AK59" s="76"/>
      <c r="AL59" s="76"/>
    </row>
    <row r="60" spans="2:40" x14ac:dyDescent="0.3">
      <c r="AJ60" s="76"/>
      <c r="AK60" s="76"/>
      <c r="AL60" s="76"/>
    </row>
    <row r="61" spans="2:40" x14ac:dyDescent="0.3">
      <c r="AJ61" s="76"/>
      <c r="AK61" s="76"/>
      <c r="AL61" s="76"/>
    </row>
    <row r="62" spans="2:40" x14ac:dyDescent="0.3">
      <c r="AJ62" s="76"/>
      <c r="AK62" s="76"/>
      <c r="AL62" s="76"/>
    </row>
    <row r="63" spans="2:40" x14ac:dyDescent="0.3">
      <c r="AJ63" s="76"/>
      <c r="AK63" s="76"/>
      <c r="AL63" s="76"/>
    </row>
    <row r="64" spans="2:40" x14ac:dyDescent="0.3">
      <c r="AJ64" s="76"/>
      <c r="AK64" s="76"/>
      <c r="AL64" s="76"/>
    </row>
    <row r="65" spans="36:38" x14ac:dyDescent="0.3">
      <c r="AJ65" s="76"/>
      <c r="AK65" s="76"/>
      <c r="AL65" s="76"/>
    </row>
    <row r="66" spans="36:38" x14ac:dyDescent="0.3">
      <c r="AJ66" s="76"/>
      <c r="AK66" s="76"/>
      <c r="AL66" s="76"/>
    </row>
    <row r="67" spans="36:38" x14ac:dyDescent="0.3">
      <c r="AJ67" s="76"/>
      <c r="AK67" s="76"/>
      <c r="AL67" s="76"/>
    </row>
    <row r="68" spans="36:38" x14ac:dyDescent="0.3">
      <c r="AJ68" s="76"/>
      <c r="AK68" s="76"/>
      <c r="AL68" s="76"/>
    </row>
    <row r="69" spans="36:38" x14ac:dyDescent="0.3">
      <c r="AJ69" s="76"/>
      <c r="AK69" s="76"/>
      <c r="AL69" s="76"/>
    </row>
    <row r="70" spans="36:38" x14ac:dyDescent="0.3">
      <c r="AJ70" s="76"/>
      <c r="AK70" s="76"/>
      <c r="AL70" s="76"/>
    </row>
    <row r="71" spans="36:38" x14ac:dyDescent="0.3">
      <c r="AJ71" s="76"/>
      <c r="AK71" s="76"/>
      <c r="AL71" s="76"/>
    </row>
    <row r="72" spans="36:38" x14ac:dyDescent="0.3">
      <c r="AJ72" s="76"/>
      <c r="AK72" s="76"/>
      <c r="AL72" s="76"/>
    </row>
    <row r="73" spans="36:38" x14ac:dyDescent="0.3">
      <c r="AJ73" s="76"/>
      <c r="AK73" s="76"/>
      <c r="AL73" s="76"/>
    </row>
    <row r="74" spans="36:38" x14ac:dyDescent="0.3">
      <c r="AJ74" s="76"/>
      <c r="AK74" s="76"/>
      <c r="AL74" s="76"/>
    </row>
    <row r="75" spans="36:38" x14ac:dyDescent="0.3">
      <c r="AJ75" s="76"/>
      <c r="AK75" s="76"/>
      <c r="AL75" s="76"/>
    </row>
    <row r="76" spans="36:38" x14ac:dyDescent="0.3">
      <c r="AJ76" s="76"/>
      <c r="AK76" s="76"/>
      <c r="AL76" s="76"/>
    </row>
    <row r="77" spans="36:38" x14ac:dyDescent="0.3">
      <c r="AJ77" s="76"/>
      <c r="AK77" s="76"/>
      <c r="AL77" s="76"/>
    </row>
    <row r="78" spans="36:38" x14ac:dyDescent="0.3">
      <c r="AJ78" s="76"/>
      <c r="AK78" s="76"/>
      <c r="AL78" s="76"/>
    </row>
    <row r="79" spans="36:38" x14ac:dyDescent="0.3">
      <c r="AJ79" s="76"/>
      <c r="AK79" s="76"/>
      <c r="AL79" s="76"/>
    </row>
    <row r="80" spans="36:38" x14ac:dyDescent="0.3">
      <c r="AJ80" s="76"/>
      <c r="AK80" s="76"/>
      <c r="AL80" s="76"/>
    </row>
    <row r="81" spans="36:38" x14ac:dyDescent="0.3">
      <c r="AJ81" s="76"/>
      <c r="AK81" s="76"/>
      <c r="AL81" s="76"/>
    </row>
    <row r="82" spans="36:38" x14ac:dyDescent="0.3">
      <c r="AJ82" s="76"/>
      <c r="AK82" s="76"/>
      <c r="AL82" s="76"/>
    </row>
    <row r="83" spans="36:38" x14ac:dyDescent="0.3">
      <c r="AJ83" s="76"/>
      <c r="AK83" s="76"/>
      <c r="AL83" s="76"/>
    </row>
    <row r="84" spans="36:38" x14ac:dyDescent="0.3">
      <c r="AJ84" s="76"/>
      <c r="AK84" s="76"/>
      <c r="AL84" s="76"/>
    </row>
    <row r="85" spans="36:38" x14ac:dyDescent="0.3">
      <c r="AJ85" s="76"/>
      <c r="AK85" s="76"/>
      <c r="AL85" s="76"/>
    </row>
    <row r="86" spans="36:38" x14ac:dyDescent="0.3">
      <c r="AJ86" s="76"/>
      <c r="AK86" s="76"/>
      <c r="AL86" s="76"/>
    </row>
    <row r="87" spans="36:38" x14ac:dyDescent="0.3">
      <c r="AJ87" s="76"/>
      <c r="AK87" s="76"/>
      <c r="AL87" s="76"/>
    </row>
    <row r="89" spans="36:38" x14ac:dyDescent="0.3">
      <c r="AJ89" s="76"/>
      <c r="AK89" s="76"/>
      <c r="AL89" s="76"/>
    </row>
    <row r="91" spans="36:38" x14ac:dyDescent="0.3">
      <c r="AJ91" s="76"/>
      <c r="AK91" s="76"/>
      <c r="AL91" s="76"/>
    </row>
    <row r="93" spans="36:38" x14ac:dyDescent="0.3">
      <c r="AJ93" s="76"/>
      <c r="AK93" s="76"/>
      <c r="AL93" s="76"/>
    </row>
    <row r="95" spans="36:38" x14ac:dyDescent="0.3">
      <c r="AJ95" s="76"/>
      <c r="AK95" s="76"/>
      <c r="AL95" s="76"/>
    </row>
    <row r="97" spans="36:38" x14ac:dyDescent="0.3">
      <c r="AJ97" s="76"/>
      <c r="AK97" s="76"/>
      <c r="AL97" s="76"/>
    </row>
    <row r="99" spans="36:38" x14ac:dyDescent="0.3">
      <c r="AJ99" s="76"/>
      <c r="AK99" s="76"/>
      <c r="AL99" s="76"/>
    </row>
    <row r="101" spans="36:38" x14ac:dyDescent="0.3">
      <c r="AJ101" s="76"/>
      <c r="AK101" s="76"/>
      <c r="AL101" s="76"/>
    </row>
    <row r="102" spans="36:38" x14ac:dyDescent="0.3">
      <c r="AJ102" s="3">
        <v>76</v>
      </c>
    </row>
    <row r="103" spans="36:38" x14ac:dyDescent="0.3">
      <c r="AJ103" s="76">
        <v>77</v>
      </c>
      <c r="AK103" s="76"/>
      <c r="AL103" s="76"/>
    </row>
    <row r="104" spans="36:38" x14ac:dyDescent="0.3">
      <c r="AJ104" s="3">
        <v>78</v>
      </c>
    </row>
  </sheetData>
  <sheetProtection algorithmName="SHA-512" hashValue="zGP6hED0p6Y5x7bKGDJnDUs1Le8YW931Bi/jInG4Z2CtyF3m1MRJm3gau+eN0lqZSmgQKKHGpFhfvRcd8lly6w==" saltValue="DEba+WhxkqobZcSo15Xq0g==" spinCount="100000" sheet="1" objects="1" scenarios="1" insertRows="0" selectLockedCells="1"/>
  <protectedRanges>
    <protectedRange sqref="I10:M14 Q10:U14 Q16:U18 AB10:AD14 AF10:AG14 AB16:AD18 AF16:AG18 Q20:U20 AB20:AD20 AF20:AG20 D16:D18 D20:M20 D10:D14 F10:G14 F16:M18" name="Folha2"/>
    <protectedRange sqref="E10:E14 E16:E18" name="Folha3"/>
  </protectedRanges>
  <mergeCells count="18">
    <mergeCell ref="C3:E3"/>
    <mergeCell ref="C4:H4"/>
    <mergeCell ref="C5:E5"/>
    <mergeCell ref="C22:D22"/>
    <mergeCell ref="C9:F9"/>
    <mergeCell ref="C15:F15"/>
    <mergeCell ref="C19:F19"/>
    <mergeCell ref="AF6:AJ6"/>
    <mergeCell ref="G28:H28"/>
    <mergeCell ref="G39:H39"/>
    <mergeCell ref="C23:D23"/>
    <mergeCell ref="I26:AH26"/>
    <mergeCell ref="I27:AG27"/>
    <mergeCell ref="I7:N7"/>
    <mergeCell ref="Q7:V7"/>
    <mergeCell ref="Y7:Z7"/>
    <mergeCell ref="I6:P6"/>
    <mergeCell ref="Q6:AE6"/>
  </mergeCells>
  <pageMargins left="0.7" right="0.7" top="0.75" bottom="0.75" header="0.3" footer="0.3"/>
  <pageSetup paperSize="9" orientation="portrait" r:id="rId1"/>
  <ignoredErrors>
    <ignoredError sqref="I48 J48:AG48 P16 N16" formulaRange="1"/>
    <ignoredError sqref="X2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'15. Valores-Padrão'!$C$3:$C$7</xm:f>
          </x14:formula1>
          <xm:sqref>F10:F14</xm:sqref>
        </x14:dataValidation>
        <x14:dataValidation type="list" allowBlank="1" showInputMessage="1" showErrorMessage="1">
          <x14:formula1>
            <xm:f>'16. Fatores de conversão'!$M$2:$M$3</xm:f>
          </x14:formula1>
          <xm:sqref>E10:E14 E16:E18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/>
  <dimension ref="B1:BE108"/>
  <sheetViews>
    <sheetView showGridLines="0" topLeftCell="P4" zoomScale="85" zoomScaleNormal="85" workbookViewId="0">
      <selection activeCell="D10" sqref="D10"/>
    </sheetView>
  </sheetViews>
  <sheetFormatPr defaultColWidth="9.109375" defaultRowHeight="14.4" x14ac:dyDescent="0.3"/>
  <cols>
    <col min="1" max="2" width="9.109375" style="3"/>
    <col min="3" max="3" width="11.5546875" style="1" customWidth="1"/>
    <col min="4" max="4" width="37.6640625" style="3" bestFit="1" customWidth="1"/>
    <col min="5" max="5" width="21.6640625" style="3" customWidth="1"/>
    <col min="6" max="6" width="60.6640625" style="3" customWidth="1"/>
    <col min="7" max="28" width="13.5546875" style="3" customWidth="1"/>
    <col min="29" max="30" width="13.5546875" style="4" customWidth="1"/>
    <col min="31" max="33" width="13.5546875" style="3" customWidth="1"/>
    <col min="34" max="34" width="16.109375" style="3" customWidth="1"/>
    <col min="35" max="37" width="13.5546875" style="3" customWidth="1"/>
    <col min="38" max="38" width="9.109375" style="3"/>
    <col min="39" max="39" width="11.88671875" style="3" customWidth="1"/>
    <col min="40" max="42" width="9.109375" style="3"/>
    <col min="43" max="43" width="18.5546875" style="3" customWidth="1"/>
    <col min="44" max="44" width="25.6640625" style="3" customWidth="1"/>
    <col min="45" max="48" width="18.5546875" style="3" customWidth="1"/>
    <col min="49" max="52" width="11.33203125" style="3" customWidth="1"/>
    <col min="53" max="16384" width="9.109375" style="3"/>
  </cols>
  <sheetData>
    <row r="1" spans="2:56" ht="15.75" thickBot="1" x14ac:dyDescent="0.3">
      <c r="F1" s="42"/>
    </row>
    <row r="2" spans="2:56" ht="15" x14ac:dyDescent="0.25">
      <c r="B2" s="55"/>
      <c r="C2" s="5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57"/>
      <c r="AD2" s="57"/>
      <c r="AE2" s="7"/>
      <c r="AF2" s="7"/>
      <c r="AG2" s="7"/>
      <c r="AH2" s="7"/>
      <c r="AI2" s="7"/>
      <c r="AJ2" s="7"/>
      <c r="AK2" s="8"/>
    </row>
    <row r="3" spans="2:56" ht="21" x14ac:dyDescent="0.25">
      <c r="B3" s="15"/>
      <c r="C3" s="937" t="s">
        <v>33</v>
      </c>
      <c r="D3" s="937"/>
      <c r="E3" s="937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2"/>
    </row>
    <row r="4" spans="2:56" ht="50.25" customHeight="1" x14ac:dyDescent="0.3">
      <c r="B4" s="15"/>
      <c r="C4" s="985" t="s">
        <v>55</v>
      </c>
      <c r="D4" s="985"/>
      <c r="E4" s="985"/>
      <c r="F4" s="985"/>
      <c r="G4" s="985"/>
      <c r="H4" s="98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36"/>
      <c r="AD4" s="36"/>
      <c r="AE4" s="11"/>
      <c r="AF4" s="11"/>
      <c r="AG4" s="11"/>
      <c r="AH4" s="11"/>
      <c r="AI4" s="11"/>
      <c r="AJ4" s="11"/>
      <c r="AK4" s="12"/>
    </row>
    <row r="5" spans="2:56" ht="38.25" customHeight="1" thickBot="1" x14ac:dyDescent="0.35">
      <c r="B5" s="15"/>
      <c r="C5" s="986" t="s">
        <v>35</v>
      </c>
      <c r="D5" s="986"/>
      <c r="E5" s="986"/>
      <c r="F5" s="58"/>
      <c r="G5" s="58"/>
      <c r="H5" s="58"/>
      <c r="I5" s="11"/>
      <c r="J5" s="11"/>
      <c r="K5" s="11"/>
      <c r="L5" s="11"/>
      <c r="M5" s="11"/>
      <c r="N5" s="11"/>
      <c r="O5" s="11"/>
      <c r="AJ5" s="11"/>
      <c r="AK5" s="12"/>
    </row>
    <row r="6" spans="2:56" s="63" customFormat="1" ht="15" thickBot="1" x14ac:dyDescent="0.35">
      <c r="B6" s="59"/>
      <c r="C6" s="60"/>
      <c r="D6" s="61"/>
      <c r="E6" s="61"/>
      <c r="F6" s="61"/>
      <c r="G6" s="61"/>
      <c r="H6" s="61"/>
      <c r="I6" s="968" t="s">
        <v>12</v>
      </c>
      <c r="J6" s="969"/>
      <c r="K6" s="969"/>
      <c r="L6" s="969"/>
      <c r="M6" s="969"/>
      <c r="N6" s="969"/>
      <c r="O6" s="969"/>
      <c r="P6" s="970"/>
      <c r="Q6" s="968" t="s">
        <v>15</v>
      </c>
      <c r="R6" s="969"/>
      <c r="S6" s="969"/>
      <c r="T6" s="969"/>
      <c r="U6" s="969"/>
      <c r="V6" s="969"/>
      <c r="W6" s="969"/>
      <c r="X6" s="969"/>
      <c r="Y6" s="969"/>
      <c r="Z6" s="969"/>
      <c r="AA6" s="969"/>
      <c r="AB6" s="969"/>
      <c r="AC6" s="969"/>
      <c r="AD6" s="969"/>
      <c r="AE6" s="970"/>
      <c r="AF6" s="968" t="s">
        <v>0</v>
      </c>
      <c r="AG6" s="969"/>
      <c r="AH6" s="969"/>
      <c r="AI6" s="969"/>
      <c r="AJ6" s="970"/>
      <c r="AK6" s="141"/>
      <c r="AP6" s="61"/>
      <c r="AQ6" s="61"/>
      <c r="AR6" s="61"/>
      <c r="AS6" s="61"/>
      <c r="AT6" s="61"/>
      <c r="AU6" s="61"/>
      <c r="AV6" s="61"/>
      <c r="AW6" s="61"/>
    </row>
    <row r="7" spans="2:56" s="76" customFormat="1" ht="51.75" customHeight="1" thickBot="1" x14ac:dyDescent="0.35">
      <c r="B7" s="64"/>
      <c r="C7" s="65"/>
      <c r="D7" s="66"/>
      <c r="E7" s="66"/>
      <c r="F7" s="66"/>
      <c r="G7" s="142" t="s">
        <v>96</v>
      </c>
      <c r="H7" s="68" t="s">
        <v>14</v>
      </c>
      <c r="I7" s="979" t="s">
        <v>171</v>
      </c>
      <c r="J7" s="980"/>
      <c r="K7" s="980"/>
      <c r="L7" s="980"/>
      <c r="M7" s="980"/>
      <c r="N7" s="980"/>
      <c r="O7" s="69" t="s">
        <v>207</v>
      </c>
      <c r="P7" s="797" t="s">
        <v>175</v>
      </c>
      <c r="Q7" s="979" t="s">
        <v>180</v>
      </c>
      <c r="R7" s="980"/>
      <c r="S7" s="980"/>
      <c r="T7" s="980"/>
      <c r="U7" s="980"/>
      <c r="V7" s="980"/>
      <c r="W7" s="797" t="s">
        <v>118</v>
      </c>
      <c r="X7" s="612" t="s">
        <v>2</v>
      </c>
      <c r="Y7" s="981" t="s">
        <v>3</v>
      </c>
      <c r="Z7" s="981"/>
      <c r="AA7" s="612" t="s">
        <v>182</v>
      </c>
      <c r="AB7" s="71" t="s">
        <v>183</v>
      </c>
      <c r="AC7" s="72" t="s">
        <v>119</v>
      </c>
      <c r="AD7" s="73" t="s">
        <v>187</v>
      </c>
      <c r="AE7" s="795" t="s">
        <v>188</v>
      </c>
      <c r="AF7" s="75" t="s">
        <v>194</v>
      </c>
      <c r="AG7" s="72" t="s">
        <v>142</v>
      </c>
      <c r="AH7" s="337" t="s">
        <v>245</v>
      </c>
      <c r="AI7" s="70" t="s">
        <v>50</v>
      </c>
      <c r="AJ7" s="74" t="s">
        <v>1</v>
      </c>
      <c r="AK7" s="62"/>
      <c r="AM7" s="66"/>
      <c r="AN7" s="66"/>
      <c r="AO7" s="66"/>
      <c r="AP7" s="66"/>
      <c r="AQ7" s="66"/>
      <c r="AW7" s="66"/>
      <c r="AX7" s="66"/>
      <c r="AY7" s="66"/>
      <c r="AZ7" s="66"/>
      <c r="BA7" s="66"/>
      <c r="BB7" s="66"/>
      <c r="BC7" s="66"/>
      <c r="BD7" s="66"/>
    </row>
    <row r="8" spans="2:56" s="76" customFormat="1" ht="63" customHeight="1" x14ac:dyDescent="0.3">
      <c r="B8" s="64"/>
      <c r="C8" s="77" t="s">
        <v>10</v>
      </c>
      <c r="D8" s="78" t="s">
        <v>11</v>
      </c>
      <c r="E8" s="79" t="s">
        <v>238</v>
      </c>
      <c r="F8" s="78" t="s">
        <v>37</v>
      </c>
      <c r="G8" s="80" t="s">
        <v>189</v>
      </c>
      <c r="H8" s="613" t="s">
        <v>131</v>
      </c>
      <c r="I8" s="81" t="str">
        <f>'1. Identificação Ben. Oper.'!D50</f>
        <v>Energia Elétrica</v>
      </c>
      <c r="J8" s="82" t="str">
        <f>IF('1. Identificação Ben. Oper.'!E50="","",'1. Identificação Ben. Oper.'!E50)</f>
        <v>Gás Natural</v>
      </c>
      <c r="K8" s="82" t="str">
        <f>IF('1. Identificação Ben. Oper.'!F50="","",'1. Identificação Ben. Oper.'!F50)</f>
        <v/>
      </c>
      <c r="L8" s="82" t="str">
        <f>IF('1. Identificação Ben. Oper.'!G50="","",'1. Identificação Ben. Oper.'!G50)</f>
        <v/>
      </c>
      <c r="M8" s="82" t="str">
        <f>IF('1. Identificação Ben. Oper.'!H50="","",'1. Identificação Ben. Oper.'!H50)</f>
        <v/>
      </c>
      <c r="N8" s="82" t="s">
        <v>85</v>
      </c>
      <c r="O8" s="82" t="s">
        <v>4</v>
      </c>
      <c r="P8" s="82" t="s">
        <v>5</v>
      </c>
      <c r="Q8" s="81" t="str">
        <f t="shared" ref="Q8:V8" si="0">+I8</f>
        <v>Energia Elétrica</v>
      </c>
      <c r="R8" s="82" t="str">
        <f t="shared" si="0"/>
        <v>Gás Natural</v>
      </c>
      <c r="S8" s="82" t="str">
        <f t="shared" si="0"/>
        <v/>
      </c>
      <c r="T8" s="82" t="str">
        <f t="shared" si="0"/>
        <v/>
      </c>
      <c r="U8" s="82" t="str">
        <f t="shared" si="0"/>
        <v/>
      </c>
      <c r="V8" s="82" t="str">
        <f t="shared" si="0"/>
        <v>Total</v>
      </c>
      <c r="W8" s="82" t="s">
        <v>5</v>
      </c>
      <c r="X8" s="82" t="s">
        <v>6</v>
      </c>
      <c r="Y8" s="82" t="s">
        <v>181</v>
      </c>
      <c r="Z8" s="82" t="s">
        <v>4</v>
      </c>
      <c r="AA8" s="82" t="s">
        <v>7</v>
      </c>
      <c r="AB8" s="80" t="s">
        <v>5</v>
      </c>
      <c r="AC8" s="80" t="s">
        <v>116</v>
      </c>
      <c r="AD8" s="84" t="s">
        <v>186</v>
      </c>
      <c r="AE8" s="747" t="s">
        <v>120</v>
      </c>
      <c r="AF8" s="86" t="s">
        <v>116</v>
      </c>
      <c r="AG8" s="87" t="s">
        <v>116</v>
      </c>
      <c r="AH8" s="83" t="s">
        <v>195</v>
      </c>
      <c r="AI8" s="83" t="s">
        <v>116</v>
      </c>
      <c r="AJ8" s="85" t="s">
        <v>131</v>
      </c>
      <c r="AK8" s="62"/>
      <c r="AM8" s="66"/>
      <c r="AN8" s="66"/>
      <c r="AO8" s="66"/>
      <c r="AP8" s="66"/>
      <c r="AQ8" s="66"/>
      <c r="AW8" s="66"/>
      <c r="AX8" s="66"/>
      <c r="AY8" s="37"/>
      <c r="AZ8" s="66"/>
      <c r="BA8" s="66"/>
      <c r="BB8" s="66"/>
      <c r="BC8" s="66"/>
      <c r="BD8" s="66"/>
    </row>
    <row r="9" spans="2:56" s="76" customFormat="1" ht="36.75" customHeight="1" x14ac:dyDescent="0.3">
      <c r="B9" s="64"/>
      <c r="C9" s="989" t="s">
        <v>48</v>
      </c>
      <c r="D9" s="990"/>
      <c r="E9" s="88"/>
      <c r="F9" s="88"/>
      <c r="G9" s="88"/>
      <c r="H9" s="88"/>
      <c r="I9" s="89"/>
      <c r="J9" s="88"/>
      <c r="K9" s="88"/>
      <c r="L9" s="88"/>
      <c r="M9" s="88"/>
      <c r="N9" s="88"/>
      <c r="O9" s="88"/>
      <c r="P9" s="90"/>
      <c r="Q9" s="89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90"/>
      <c r="AF9" s="89"/>
      <c r="AG9" s="88"/>
      <c r="AH9" s="88"/>
      <c r="AI9" s="88"/>
      <c r="AJ9" s="90"/>
      <c r="AK9" s="62"/>
      <c r="AM9" s="66"/>
      <c r="AN9" s="66"/>
      <c r="AO9" s="66"/>
      <c r="AP9" s="66"/>
      <c r="AQ9" s="66"/>
      <c r="AW9" s="66"/>
      <c r="AX9" s="39"/>
      <c r="AY9" s="37"/>
      <c r="AZ9" s="66"/>
      <c r="BA9" s="66"/>
      <c r="BB9" s="66"/>
      <c r="BC9" s="66"/>
      <c r="BD9" s="66"/>
    </row>
    <row r="10" spans="2:56" ht="30" customHeight="1" x14ac:dyDescent="0.25">
      <c r="B10" s="15"/>
      <c r="C10" s="91">
        <v>1</v>
      </c>
      <c r="D10" s="633"/>
      <c r="E10" s="622"/>
      <c r="F10" s="648"/>
      <c r="G10" s="627"/>
      <c r="H10" s="92" t="str">
        <f>IF(F10="","",VLOOKUP(F10,'15. Valores-Padrão'!$C$8:$F$11,4,FALSE))</f>
        <v/>
      </c>
      <c r="I10" s="635"/>
      <c r="J10" s="627"/>
      <c r="K10" s="627"/>
      <c r="L10" s="627"/>
      <c r="M10" s="627"/>
      <c r="N10" s="93">
        <f>+SUM(I10:M10)</f>
        <v>0</v>
      </c>
      <c r="O10" s="94">
        <f>+VLOOKUP($I$8,'16. Fatores de conversão'!$A$6:$I$14,6,FALSE)*I10+VLOOKUP($J$8,'16. Fatores de conversão'!$A$6:$I$14,6,FALSE)*J10+VLOOKUP($K$8,'16. Fatores de conversão'!$A$6:$I$14,6,FALSE)*K10+VLOOKUP($L$8,'16. Fatores de conversão'!$A$6:$I$14,6,FALSE)*L10+VLOOKUP($M$8,'16. Fatores de conversão'!$A$6:$I$14,6,FALSE)*M10</f>
        <v>0</v>
      </c>
      <c r="P10" s="603">
        <f>+SUMPRODUCT('1. Identificação Ben. Oper.'!$D$56:$H$56,I10:M10)</f>
        <v>0</v>
      </c>
      <c r="Q10" s="636"/>
      <c r="R10" s="637"/>
      <c r="S10" s="637"/>
      <c r="T10" s="637"/>
      <c r="U10" s="637"/>
      <c r="V10" s="93">
        <f>+SUM(Q10:U10)</f>
        <v>0</v>
      </c>
      <c r="W10" s="603">
        <f>+SUMPRODUCT('1. Identificação Ben. Oper.'!$D$56:$H$56,Q10:U10)</f>
        <v>0</v>
      </c>
      <c r="X10" s="604">
        <f>IF(N10=0,0,V10/N10)</f>
        <v>0</v>
      </c>
      <c r="Y10" s="94">
        <f>+VLOOKUP($Q$8,'16. Fatores de conversão'!$A$6:$I$14,3,FALSE)*Q10+VLOOKUP($R$8,'16. Fatores de conversão'!$A$6:$I$14,3,FALSE)*R10+VLOOKUP($S$8,'16. Fatores de conversão'!$A$6:$I$14,3,FALSE)*S10+VLOOKUP($T$8,'16. Fatores de conversão'!$A$6:$I$14,3,FALSE)*T10+VLOOKUP($U$8,'16. Fatores de conversão'!$A$6:$I$14,3,FALSE)*U10</f>
        <v>0</v>
      </c>
      <c r="Z10" s="94">
        <f>+VLOOKUP($Q$8,'16. Fatores de conversão'!$A$6:$I$14,6,FALSE)*Q10+VLOOKUP($R$8,'16. Fatores de conversão'!$A$6:$I$14,6,FALSE)*R10+VLOOKUP($S$8,'16. Fatores de conversão'!$A$6:$I$14,6,FALSE)*S10+VLOOKUP($T$8,'16. Fatores de conversão'!$A$6:$I$14,6,FALSE)*T10+VLOOKUP($U$8,'16. Fatores de conversão'!$A$6:$I$14,6,FALSE)*U10</f>
        <v>0</v>
      </c>
      <c r="AA10" s="94">
        <f>(VLOOKUP($Q$8,'16. Fatores de conversão'!$A$6:$I$14,9,FALSE)*Q10+VLOOKUP($R$8,'16. Fatores de conversão'!$A$6:$I$14,9,FALSE)*R10+VLOOKUP($S$8,'16. Fatores de conversão'!$A$6:$I$14,9,FALSE)*S10+VLOOKUP($T$8,'16. Fatores de conversão'!$A$6:$I$14,9,FALSE)*T10+VLOOKUP($U$8,'16. Fatores de conversão'!$A$6:$I$14,9,FALSE)*U10)/1000</f>
        <v>0</v>
      </c>
      <c r="AB10" s="630"/>
      <c r="AC10" s="630"/>
      <c r="AD10" s="638"/>
      <c r="AE10" s="796">
        <f>IF(OR(AC10="",AC10=0),0,IF(OR(AD10="",AD10=0),0,H10+1))</f>
        <v>0</v>
      </c>
      <c r="AF10" s="639"/>
      <c r="AG10" s="630"/>
      <c r="AH10" s="603" t="str">
        <f>IF(F10="","",VLOOKUP(F10,'15. Valores-Padrão'!$C$8:$E$11,3,FALSE)*G10)</f>
        <v/>
      </c>
      <c r="AI10" s="603">
        <f>IF(AF10=0,0,IF(AF10&lt;(AH10),AF10+AG10,((AH10)+((AG10/AF10)*AH10))))</f>
        <v>0</v>
      </c>
      <c r="AJ10" s="788">
        <f>IF(W10=0,0,(AF10+AG10)/W10)</f>
        <v>0</v>
      </c>
      <c r="AK10" s="62"/>
      <c r="AM10" s="11"/>
      <c r="AN10" s="11"/>
      <c r="AO10" s="11"/>
      <c r="AP10" s="11"/>
      <c r="AQ10" s="11"/>
      <c r="AW10" s="11"/>
      <c r="AX10" s="11"/>
      <c r="AY10" s="37"/>
      <c r="AZ10" s="66"/>
      <c r="BA10" s="66"/>
      <c r="BB10" s="66"/>
      <c r="BC10" s="11"/>
      <c r="BD10" s="11"/>
    </row>
    <row r="11" spans="2:56" ht="30" customHeight="1" x14ac:dyDescent="0.25">
      <c r="B11" s="15"/>
      <c r="C11" s="91">
        <v>2</v>
      </c>
      <c r="D11" s="633"/>
      <c r="E11" s="622"/>
      <c r="F11" s="648"/>
      <c r="G11" s="627"/>
      <c r="H11" s="92" t="str">
        <f>IF(F11="","",VLOOKUP(F11,'15. Valores-Padrão'!$C$8:$F$11,4,FALSE))</f>
        <v/>
      </c>
      <c r="I11" s="635"/>
      <c r="J11" s="627"/>
      <c r="K11" s="627"/>
      <c r="L11" s="627"/>
      <c r="M11" s="627"/>
      <c r="N11" s="93">
        <f t="shared" ref="N11:N14" si="1">+SUM(I11:M11)</f>
        <v>0</v>
      </c>
      <c r="O11" s="94">
        <f>+VLOOKUP($I$8,'16. Fatores de conversão'!$A$6:$I$14,6,FALSE)*I11+VLOOKUP($J$8,'16. Fatores de conversão'!$A$6:$I$14,6,FALSE)*J11+VLOOKUP($K$8,'16. Fatores de conversão'!$A$6:$I$14,6,FALSE)*K11+VLOOKUP($L$8,'16. Fatores de conversão'!$A$6:$I$14,6,FALSE)*L11+VLOOKUP($M$8,'16. Fatores de conversão'!$A$6:$I$14,6,FALSE)*M11</f>
        <v>0</v>
      </c>
      <c r="P11" s="603">
        <f>+SUMPRODUCT('1. Identificação Ben. Oper.'!$D$56:$H$56,I11:M11)</f>
        <v>0</v>
      </c>
      <c r="Q11" s="636"/>
      <c r="R11" s="637"/>
      <c r="S11" s="637"/>
      <c r="T11" s="637"/>
      <c r="U11" s="637"/>
      <c r="V11" s="93">
        <f t="shared" ref="V11:V14" si="2">+SUM(Q11:U11)</f>
        <v>0</v>
      </c>
      <c r="W11" s="603">
        <f>+SUMPRODUCT('1. Identificação Ben. Oper.'!$D$56:$H$56,Q11:U11)</f>
        <v>0</v>
      </c>
      <c r="X11" s="604">
        <f>IF(N11=0,0,V11/N11)</f>
        <v>0</v>
      </c>
      <c r="Y11" s="94">
        <f>+VLOOKUP($Q$8,'16. Fatores de conversão'!$A$6:$I$14,3,FALSE)*Q11+VLOOKUP($R$8,'16. Fatores de conversão'!$A$6:$I$14,3,FALSE)*R11+VLOOKUP($S$8,'16. Fatores de conversão'!$A$6:$I$14,3,FALSE)*S11+VLOOKUP($T$8,'16. Fatores de conversão'!$A$6:$I$14,3,FALSE)*T11+VLOOKUP($U$8,'16. Fatores de conversão'!$A$6:$I$14,3,FALSE)*U11</f>
        <v>0</v>
      </c>
      <c r="Z11" s="94">
        <f>+VLOOKUP($Q$8,'16. Fatores de conversão'!$A$6:$I$14,6,FALSE)*Q11+VLOOKUP($R$8,'16. Fatores de conversão'!$A$6:$I$14,6,FALSE)*R11+VLOOKUP($S$8,'16. Fatores de conversão'!$A$6:$I$14,6,FALSE)*S11+VLOOKUP($T$8,'16. Fatores de conversão'!$A$6:$I$14,6,FALSE)*T11+VLOOKUP($U$8,'16. Fatores de conversão'!$A$6:$I$14,6,FALSE)*U11</f>
        <v>0</v>
      </c>
      <c r="AA11" s="94">
        <f>(VLOOKUP($Q$8,'16. Fatores de conversão'!$A$6:$I$14,9,FALSE)*Q11+VLOOKUP($R$8,'16. Fatores de conversão'!$A$6:$I$14,9,FALSE)*R11+VLOOKUP($S$8,'16. Fatores de conversão'!$A$6:$I$14,9,FALSE)*S11+VLOOKUP($T$8,'16. Fatores de conversão'!$A$6:$I$14,9,FALSE)*T11+VLOOKUP($U$8,'16. Fatores de conversão'!$A$6:$I$14,9,FALSE)*U11)/1000</f>
        <v>0</v>
      </c>
      <c r="AB11" s="630"/>
      <c r="AC11" s="630"/>
      <c r="AD11" s="638"/>
      <c r="AE11" s="796">
        <f>IF(OR(AC11="",AC11=0),0,IF(OR(AD11="",AD11=0),0,H11+1))</f>
        <v>0</v>
      </c>
      <c r="AF11" s="640"/>
      <c r="AG11" s="630"/>
      <c r="AH11" s="603" t="str">
        <f>IF(F11="","",VLOOKUP(F11,'15. Valores-Padrão'!$C$8:$E$11,3,FALSE)*G11)</f>
        <v/>
      </c>
      <c r="AI11" s="603">
        <f t="shared" ref="AI11:AI20" si="3">IF(AF11=0,0,IF(AF11&lt;(AH11),AF11+AG11,((AH11)+((AG11/AF11)*AH11))))</f>
        <v>0</v>
      </c>
      <c r="AJ11" s="788">
        <f t="shared" ref="AJ11:AJ21" si="4">IF(W11=0,0,(AF11+AG11)/W11)</f>
        <v>0</v>
      </c>
      <c r="AK11" s="12"/>
      <c r="AM11" s="11"/>
      <c r="AN11" s="11"/>
      <c r="AO11" s="11"/>
      <c r="AP11" s="11"/>
      <c r="AQ11" s="11"/>
      <c r="AW11" s="11"/>
      <c r="AX11" s="11"/>
      <c r="AY11" s="37"/>
      <c r="AZ11" s="66"/>
      <c r="BA11" s="66"/>
      <c r="BB11" s="66"/>
      <c r="BC11" s="11"/>
      <c r="BD11" s="11"/>
    </row>
    <row r="12" spans="2:56" ht="30" customHeight="1" x14ac:dyDescent="0.25">
      <c r="B12" s="15"/>
      <c r="C12" s="91">
        <v>3</v>
      </c>
      <c r="D12" s="633"/>
      <c r="E12" s="622"/>
      <c r="F12" s="648"/>
      <c r="G12" s="627"/>
      <c r="H12" s="92" t="str">
        <f>IF(F12="","",VLOOKUP(F12,'15. Valores-Padrão'!$C$8:$F$11,4,FALSE))</f>
        <v/>
      </c>
      <c r="I12" s="635"/>
      <c r="J12" s="627"/>
      <c r="K12" s="627"/>
      <c r="L12" s="627"/>
      <c r="M12" s="627"/>
      <c r="N12" s="93">
        <f t="shared" si="1"/>
        <v>0</v>
      </c>
      <c r="O12" s="94">
        <f>+VLOOKUP($I$8,'16. Fatores de conversão'!$A$6:$I$14,6,FALSE)*I12+VLOOKUP($J$8,'16. Fatores de conversão'!$A$6:$I$14,6,FALSE)*J12+VLOOKUP($K$8,'16. Fatores de conversão'!$A$6:$I$14,6,FALSE)*K12+VLOOKUP($L$8,'16. Fatores de conversão'!$A$6:$I$14,6,FALSE)*L12+VLOOKUP($M$8,'16. Fatores de conversão'!$A$6:$I$14,6,FALSE)*M12</f>
        <v>0</v>
      </c>
      <c r="P12" s="603">
        <f>+SUMPRODUCT('1. Identificação Ben. Oper.'!$D$56:$H$56,I12:M12)</f>
        <v>0</v>
      </c>
      <c r="Q12" s="636"/>
      <c r="R12" s="637"/>
      <c r="S12" s="637"/>
      <c r="T12" s="637"/>
      <c r="U12" s="637"/>
      <c r="V12" s="93">
        <f t="shared" si="2"/>
        <v>0</v>
      </c>
      <c r="W12" s="603">
        <f>+SUMPRODUCT('1. Identificação Ben. Oper.'!$D$56:$H$56,Q12:U12)</f>
        <v>0</v>
      </c>
      <c r="X12" s="604">
        <f>IF(N12=0,0,V12/N12)</f>
        <v>0</v>
      </c>
      <c r="Y12" s="94">
        <f>+VLOOKUP($Q$8,'16. Fatores de conversão'!$A$6:$I$14,3,FALSE)*Q12+VLOOKUP($R$8,'16. Fatores de conversão'!$A$6:$I$14,3,FALSE)*R12+VLOOKUP($S$8,'16. Fatores de conversão'!$A$6:$I$14,3,FALSE)*S12+VLOOKUP($T$8,'16. Fatores de conversão'!$A$6:$I$14,3,FALSE)*T12+VLOOKUP($U$8,'16. Fatores de conversão'!$A$6:$I$14,3,FALSE)*U12</f>
        <v>0</v>
      </c>
      <c r="Z12" s="94">
        <f>+VLOOKUP($Q$8,'16. Fatores de conversão'!$A$6:$I$14,6,FALSE)*Q12+VLOOKUP($R$8,'16. Fatores de conversão'!$A$6:$I$14,6,FALSE)*R12+VLOOKUP($S$8,'16. Fatores de conversão'!$A$6:$I$14,6,FALSE)*S12+VLOOKUP($T$8,'16. Fatores de conversão'!$A$6:$I$14,6,FALSE)*T12+VLOOKUP($U$8,'16. Fatores de conversão'!$A$6:$I$14,6,FALSE)*U12</f>
        <v>0</v>
      </c>
      <c r="AA12" s="94">
        <f>(VLOOKUP($Q$8,'16. Fatores de conversão'!$A$6:$I$14,9,FALSE)*Q12+VLOOKUP($R$8,'16. Fatores de conversão'!$A$6:$I$14,9,FALSE)*R12+VLOOKUP($S$8,'16. Fatores de conversão'!$A$6:$I$14,9,FALSE)*S12+VLOOKUP($T$8,'16. Fatores de conversão'!$A$6:$I$14,9,FALSE)*T12+VLOOKUP($U$8,'16. Fatores de conversão'!$A$6:$I$14,9,FALSE)*U12)/1000</f>
        <v>0</v>
      </c>
      <c r="AB12" s="630"/>
      <c r="AC12" s="630"/>
      <c r="AD12" s="638"/>
      <c r="AE12" s="796">
        <f>IF(OR(AC12="",AC12=0),0,IF(OR(AD12="",AD12=0),0,H12+1))</f>
        <v>0</v>
      </c>
      <c r="AF12" s="640"/>
      <c r="AG12" s="630"/>
      <c r="AH12" s="603" t="str">
        <f>IF(F12="","",VLOOKUP(F12,'15. Valores-Padrão'!$C$8:$E$11,3,FALSE)*G12)</f>
        <v/>
      </c>
      <c r="AI12" s="603">
        <f t="shared" si="3"/>
        <v>0</v>
      </c>
      <c r="AJ12" s="788">
        <f t="shared" si="4"/>
        <v>0</v>
      </c>
      <c r="AK12" s="12"/>
      <c r="AM12" s="11"/>
      <c r="AN12" s="11"/>
      <c r="AO12" s="11"/>
      <c r="AP12" s="11"/>
      <c r="AQ12" s="11"/>
      <c r="AW12" s="11"/>
      <c r="AX12" s="11"/>
      <c r="AY12" s="37"/>
      <c r="AZ12" s="66"/>
      <c r="BA12" s="66"/>
      <c r="BB12" s="66"/>
      <c r="BC12" s="11"/>
      <c r="BD12" s="11"/>
    </row>
    <row r="13" spans="2:56" ht="30" customHeight="1" x14ac:dyDescent="0.25">
      <c r="B13" s="15"/>
      <c r="C13" s="91">
        <v>4</v>
      </c>
      <c r="D13" s="633"/>
      <c r="E13" s="622"/>
      <c r="F13" s="648"/>
      <c r="G13" s="627"/>
      <c r="H13" s="92" t="str">
        <f>IF(F13="","",VLOOKUP(F13,'15. Valores-Padrão'!$C$8:$F$11,4,FALSE))</f>
        <v/>
      </c>
      <c r="I13" s="635"/>
      <c r="J13" s="627"/>
      <c r="K13" s="627"/>
      <c r="L13" s="627"/>
      <c r="M13" s="627"/>
      <c r="N13" s="93">
        <f t="shared" si="1"/>
        <v>0</v>
      </c>
      <c r="O13" s="94">
        <f>+VLOOKUP($I$8,'16. Fatores de conversão'!$A$6:$I$14,6,FALSE)*I13+VLOOKUP($J$8,'16. Fatores de conversão'!$A$6:$I$14,6,FALSE)*J13+VLOOKUP($K$8,'16. Fatores de conversão'!$A$6:$I$14,6,FALSE)*K13+VLOOKUP($L$8,'16. Fatores de conversão'!$A$6:$I$14,6,FALSE)*L13+VLOOKUP($M$8,'16. Fatores de conversão'!$A$6:$I$14,6,FALSE)*M13</f>
        <v>0</v>
      </c>
      <c r="P13" s="603">
        <f>+SUMPRODUCT('1. Identificação Ben. Oper.'!$D$56:$H$56,I13:M13)</f>
        <v>0</v>
      </c>
      <c r="Q13" s="636"/>
      <c r="R13" s="637"/>
      <c r="S13" s="637"/>
      <c r="T13" s="637"/>
      <c r="U13" s="637"/>
      <c r="V13" s="93">
        <f t="shared" si="2"/>
        <v>0</v>
      </c>
      <c r="W13" s="603">
        <f>+SUMPRODUCT('1. Identificação Ben. Oper.'!$D$56:$H$56,Q13:U13)</f>
        <v>0</v>
      </c>
      <c r="X13" s="604">
        <f>IF(N13=0,0,V13/N13)</f>
        <v>0</v>
      </c>
      <c r="Y13" s="94">
        <f>+VLOOKUP($Q$8,'16. Fatores de conversão'!$A$6:$I$14,3,FALSE)*Q13+VLOOKUP($R$8,'16. Fatores de conversão'!$A$6:$I$14,3,FALSE)*R13+VLOOKUP($S$8,'16. Fatores de conversão'!$A$6:$I$14,3,FALSE)*S13+VLOOKUP($T$8,'16. Fatores de conversão'!$A$6:$I$14,3,FALSE)*T13+VLOOKUP($U$8,'16. Fatores de conversão'!$A$6:$I$14,3,FALSE)*U13</f>
        <v>0</v>
      </c>
      <c r="Z13" s="94">
        <f>+VLOOKUP($Q$8,'16. Fatores de conversão'!$A$6:$I$14,6,FALSE)*Q13+VLOOKUP($R$8,'16. Fatores de conversão'!$A$6:$I$14,6,FALSE)*R13+VLOOKUP($S$8,'16. Fatores de conversão'!$A$6:$I$14,6,FALSE)*S13+VLOOKUP($T$8,'16. Fatores de conversão'!$A$6:$I$14,6,FALSE)*T13+VLOOKUP($U$8,'16. Fatores de conversão'!$A$6:$I$14,6,FALSE)*U13</f>
        <v>0</v>
      </c>
      <c r="AA13" s="94">
        <f>(VLOOKUP($Q$8,'16. Fatores de conversão'!$A$6:$I$14,9,FALSE)*Q13+VLOOKUP($R$8,'16. Fatores de conversão'!$A$6:$I$14,9,FALSE)*R13+VLOOKUP($S$8,'16. Fatores de conversão'!$A$6:$I$14,9,FALSE)*S13+VLOOKUP($T$8,'16. Fatores de conversão'!$A$6:$I$14,9,FALSE)*T13+VLOOKUP($U$8,'16. Fatores de conversão'!$A$6:$I$14,9,FALSE)*U13)/1000</f>
        <v>0</v>
      </c>
      <c r="AB13" s="630"/>
      <c r="AC13" s="630"/>
      <c r="AD13" s="638"/>
      <c r="AE13" s="796">
        <f>IF(OR(AC13="",AC13=0),0,IF(OR(AD13="",AD13=0),0,H13+1))</f>
        <v>0</v>
      </c>
      <c r="AF13" s="640"/>
      <c r="AG13" s="630"/>
      <c r="AH13" s="603" t="str">
        <f>IF(F13="","",VLOOKUP(F13,'15. Valores-Padrão'!$C$8:$E$11,3,FALSE)*G13)</f>
        <v/>
      </c>
      <c r="AI13" s="603">
        <f t="shared" si="3"/>
        <v>0</v>
      </c>
      <c r="AJ13" s="788">
        <f t="shared" si="4"/>
        <v>0</v>
      </c>
      <c r="AK13" s="12"/>
      <c r="AM13" s="11"/>
      <c r="AN13" s="11"/>
      <c r="AO13" s="11"/>
      <c r="AP13" s="11"/>
      <c r="AQ13" s="11"/>
      <c r="AW13" s="11"/>
      <c r="AX13" s="11"/>
      <c r="AY13" s="95"/>
      <c r="AZ13" s="66"/>
      <c r="BA13" s="66"/>
      <c r="BB13" s="66"/>
      <c r="BC13" s="11"/>
      <c r="BD13" s="11"/>
    </row>
    <row r="14" spans="2:56" ht="30" customHeight="1" x14ac:dyDescent="0.25">
      <c r="B14" s="15"/>
      <c r="C14" s="91">
        <v>5</v>
      </c>
      <c r="D14" s="633"/>
      <c r="E14" s="622"/>
      <c r="F14" s="648"/>
      <c r="G14" s="627"/>
      <c r="H14" s="92" t="str">
        <f>IF(F14="","",VLOOKUP(F14,'15. Valores-Padrão'!$C$8:$F$11,4,FALSE))</f>
        <v/>
      </c>
      <c r="I14" s="635"/>
      <c r="J14" s="627"/>
      <c r="K14" s="627"/>
      <c r="L14" s="627"/>
      <c r="M14" s="627"/>
      <c r="N14" s="93">
        <f t="shared" si="1"/>
        <v>0</v>
      </c>
      <c r="O14" s="94">
        <f>+VLOOKUP($I$8,'16. Fatores de conversão'!$A$6:$I$14,6,FALSE)*I14+VLOOKUP($J$8,'16. Fatores de conversão'!$A$6:$I$14,6,FALSE)*J14+VLOOKUP($K$8,'16. Fatores de conversão'!$A$6:$I$14,6,FALSE)*K14+VLOOKUP($L$8,'16. Fatores de conversão'!$A$6:$I$14,6,FALSE)*L14+VLOOKUP($M$8,'16. Fatores de conversão'!$A$6:$I$14,6,FALSE)*M14</f>
        <v>0</v>
      </c>
      <c r="P14" s="603">
        <f>+SUMPRODUCT('1. Identificação Ben. Oper.'!$D$56:$H$56,I14:M14)</f>
        <v>0</v>
      </c>
      <c r="Q14" s="636"/>
      <c r="R14" s="637"/>
      <c r="S14" s="637"/>
      <c r="T14" s="637"/>
      <c r="U14" s="637"/>
      <c r="V14" s="93">
        <f t="shared" si="2"/>
        <v>0</v>
      </c>
      <c r="W14" s="603">
        <f>+SUMPRODUCT('1. Identificação Ben. Oper.'!$D$56:$H$56,Q14:U14)</f>
        <v>0</v>
      </c>
      <c r="X14" s="604">
        <f>IF(N14=0,0,V14/N14)</f>
        <v>0</v>
      </c>
      <c r="Y14" s="94">
        <f>+VLOOKUP($Q$8,'16. Fatores de conversão'!$A$6:$I$14,3,FALSE)*Q14+VLOOKUP($R$8,'16. Fatores de conversão'!$A$6:$I$14,3,FALSE)*R14+VLOOKUP($S$8,'16. Fatores de conversão'!$A$6:$I$14,3,FALSE)*S14+VLOOKUP($T$8,'16. Fatores de conversão'!$A$6:$I$14,3,FALSE)*T14+VLOOKUP($U$8,'16. Fatores de conversão'!$A$6:$I$14,3,FALSE)*U14</f>
        <v>0</v>
      </c>
      <c r="Z14" s="94">
        <f>+VLOOKUP($Q$8,'16. Fatores de conversão'!$A$6:$I$14,6,FALSE)*Q14+VLOOKUP($R$8,'16. Fatores de conversão'!$A$6:$I$14,6,FALSE)*R14+VLOOKUP($S$8,'16. Fatores de conversão'!$A$6:$I$14,6,FALSE)*S14+VLOOKUP($T$8,'16. Fatores de conversão'!$A$6:$I$14,6,FALSE)*T14+VLOOKUP($U$8,'16. Fatores de conversão'!$A$6:$I$14,6,FALSE)*U14</f>
        <v>0</v>
      </c>
      <c r="AA14" s="94">
        <f>(VLOOKUP($Q$8,'16. Fatores de conversão'!$A$6:$I$14,9,FALSE)*Q14+VLOOKUP($R$8,'16. Fatores de conversão'!$A$6:$I$14,9,FALSE)*R14+VLOOKUP($S$8,'16. Fatores de conversão'!$A$6:$I$14,9,FALSE)*S14+VLOOKUP($T$8,'16. Fatores de conversão'!$A$6:$I$14,9,FALSE)*T14+VLOOKUP($U$8,'16. Fatores de conversão'!$A$6:$I$14,9,FALSE)*U14)/1000</f>
        <v>0</v>
      </c>
      <c r="AB14" s="630"/>
      <c r="AC14" s="630"/>
      <c r="AD14" s="638"/>
      <c r="AE14" s="796">
        <f>IF(OR(AC14="",AC14=0),0,IF(OR(AD14="",AD14=0),0,H14+1))</f>
        <v>0</v>
      </c>
      <c r="AF14" s="640"/>
      <c r="AG14" s="630"/>
      <c r="AH14" s="603" t="str">
        <f>IF(F14="","",VLOOKUP(F14,'15. Valores-Padrão'!$C$8:$E$11,3,FALSE)*G14)</f>
        <v/>
      </c>
      <c r="AI14" s="603">
        <f t="shared" si="3"/>
        <v>0</v>
      </c>
      <c r="AJ14" s="788">
        <f t="shared" si="4"/>
        <v>0</v>
      </c>
      <c r="AK14" s="12"/>
      <c r="AM14" s="11"/>
      <c r="AN14" s="11"/>
      <c r="AO14" s="11"/>
      <c r="AP14" s="11"/>
      <c r="AQ14" s="11"/>
      <c r="AW14" s="11"/>
      <c r="AX14" s="11"/>
      <c r="AY14" s="95"/>
      <c r="AZ14" s="66"/>
      <c r="BA14" s="66"/>
      <c r="BB14" s="66"/>
      <c r="BC14" s="11"/>
      <c r="BD14" s="11"/>
    </row>
    <row r="15" spans="2:56" ht="30" customHeight="1" x14ac:dyDescent="0.3">
      <c r="B15" s="15"/>
      <c r="C15" s="989" t="s">
        <v>49</v>
      </c>
      <c r="D15" s="990"/>
      <c r="E15" s="88"/>
      <c r="F15" s="88"/>
      <c r="G15" s="88"/>
      <c r="H15" s="88"/>
      <c r="I15" s="413"/>
      <c r="J15" s="369"/>
      <c r="K15" s="369"/>
      <c r="L15" s="369"/>
      <c r="M15" s="369"/>
      <c r="N15" s="88"/>
      <c r="O15" s="88"/>
      <c r="P15" s="90"/>
      <c r="Q15" s="89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90"/>
      <c r="AF15" s="89"/>
      <c r="AG15" s="88"/>
      <c r="AH15" s="96"/>
      <c r="AI15" s="88"/>
      <c r="AJ15" s="90"/>
      <c r="AK15" s="12"/>
      <c r="AM15" s="11"/>
      <c r="AN15" s="11"/>
      <c r="AO15" s="11"/>
      <c r="AP15" s="11"/>
      <c r="AQ15" s="11"/>
      <c r="AW15" s="11"/>
      <c r="AX15" s="11"/>
      <c r="AY15" s="95"/>
      <c r="AZ15" s="66"/>
      <c r="BA15" s="66"/>
      <c r="BB15" s="66"/>
      <c r="BC15" s="11"/>
      <c r="BD15" s="11"/>
    </row>
    <row r="16" spans="2:56" ht="30" customHeight="1" x14ac:dyDescent="0.3">
      <c r="B16" s="15"/>
      <c r="C16" s="91">
        <v>6</v>
      </c>
      <c r="D16" s="633"/>
      <c r="E16" s="622"/>
      <c r="F16" s="648"/>
      <c r="G16" s="627"/>
      <c r="H16" s="650"/>
      <c r="I16" s="635"/>
      <c r="J16" s="627"/>
      <c r="K16" s="627"/>
      <c r="L16" s="627"/>
      <c r="M16" s="627"/>
      <c r="N16" s="93">
        <f>+SUM(I16:M16)</f>
        <v>0</v>
      </c>
      <c r="O16" s="94">
        <f>+VLOOKUP($I$8,'16. Fatores de conversão'!$A$6:$I$14,6,FALSE)*I16+VLOOKUP($J$8,'16. Fatores de conversão'!$A$6:$I$14,6,FALSE)*J16+VLOOKUP($K$8,'16. Fatores de conversão'!$A$6:$I$14,6,FALSE)*K16+VLOOKUP($L$8,'16. Fatores de conversão'!$A$6:$I$14,6,FALSE)*L16+VLOOKUP($M$8,'16. Fatores de conversão'!$A$6:$I$14,6,FALSE)*M16</f>
        <v>0</v>
      </c>
      <c r="P16" s="603">
        <f>+SUMPRODUCT('1. Identificação Ben. Oper.'!$D$56:$H$56,I16:M16)</f>
        <v>0</v>
      </c>
      <c r="Q16" s="636"/>
      <c r="R16" s="637"/>
      <c r="S16" s="637"/>
      <c r="T16" s="637"/>
      <c r="U16" s="637"/>
      <c r="V16" s="93">
        <f>+SUM(Q16:U16)</f>
        <v>0</v>
      </c>
      <c r="W16" s="603">
        <f>+SUMPRODUCT('1. Identificação Ben. Oper.'!$D$56:$H$56,Q16:U16)</f>
        <v>0</v>
      </c>
      <c r="X16" s="604">
        <f t="shared" ref="X16:X21" si="5">IF(N16=0,0,V16/N16)</f>
        <v>0</v>
      </c>
      <c r="Y16" s="94">
        <f>+VLOOKUP($Q$8,'16. Fatores de conversão'!$A$6:$I$14,3,FALSE)*Q16+VLOOKUP($R$8,'16. Fatores de conversão'!$A$6:$I$14,3,FALSE)*R16+VLOOKUP($S$8,'16. Fatores de conversão'!$A$6:$I$14,3,FALSE)*S16+VLOOKUP($T$8,'16. Fatores de conversão'!$A$6:$I$14,3,FALSE)*T16+VLOOKUP($U$8,'16. Fatores de conversão'!$A$6:$I$14,3,FALSE)*U16</f>
        <v>0</v>
      </c>
      <c r="Z16" s="94">
        <f>+VLOOKUP($Q$8,'16. Fatores de conversão'!$A$6:$I$14,6,FALSE)*Q16+VLOOKUP($R$8,'16. Fatores de conversão'!$A$6:$I$14,6,FALSE)*R16+VLOOKUP($S$8,'16. Fatores de conversão'!$A$6:$I$14,6,FALSE)*S16+VLOOKUP($T$8,'16. Fatores de conversão'!$A$6:$I$14,6,FALSE)*T16+VLOOKUP($U$8,'16. Fatores de conversão'!$A$6:$I$14,6,FALSE)*U16</f>
        <v>0</v>
      </c>
      <c r="AA16" s="94">
        <f>(VLOOKUP($Q$8,'16. Fatores de conversão'!$A$6:$I$14,9,FALSE)*Q16+VLOOKUP($R$8,'16. Fatores de conversão'!$A$6:$I$14,9,FALSE)*R16+VLOOKUP($S$8,'16. Fatores de conversão'!$A$6:$I$14,9,FALSE)*S16+VLOOKUP($T$8,'16. Fatores de conversão'!$A$6:$I$14,9,FALSE)*T16+VLOOKUP($U$8,'16. Fatores de conversão'!$A$6:$I$14,9,FALSE)*U16)/1000</f>
        <v>0</v>
      </c>
      <c r="AB16" s="630"/>
      <c r="AC16" s="630"/>
      <c r="AD16" s="638"/>
      <c r="AE16" s="796">
        <f>IF(OR(AC16="",AC16=0),0,IF(OR(AD16="",AD16=0),0,H16+1))</f>
        <v>0</v>
      </c>
      <c r="AF16" s="640"/>
      <c r="AG16" s="641"/>
      <c r="AH16" s="830" t="s">
        <v>196</v>
      </c>
      <c r="AI16" s="603">
        <f>IF(AF16=0,0,IF(AF16&lt;(AH16),AF16+AG16,((AH16)+((AG16/AF16)*AH16))))</f>
        <v>0</v>
      </c>
      <c r="AJ16" s="788">
        <f t="shared" si="4"/>
        <v>0</v>
      </c>
      <c r="AK16" s="12"/>
      <c r="AM16" s="11"/>
      <c r="AN16" s="11"/>
      <c r="AO16" s="11"/>
      <c r="AP16" s="11"/>
      <c r="AQ16" s="11"/>
      <c r="AW16" s="11"/>
      <c r="AX16" s="11"/>
      <c r="AY16" s="95"/>
      <c r="AZ16" s="66"/>
      <c r="BA16" s="66"/>
      <c r="BB16" s="66"/>
      <c r="BC16" s="11"/>
      <c r="BD16" s="11"/>
    </row>
    <row r="17" spans="2:57" ht="30" customHeight="1" x14ac:dyDescent="0.3">
      <c r="B17" s="15"/>
      <c r="C17" s="91">
        <v>7</v>
      </c>
      <c r="D17" s="633"/>
      <c r="E17" s="622"/>
      <c r="F17" s="648"/>
      <c r="G17" s="627"/>
      <c r="H17" s="650"/>
      <c r="I17" s="635"/>
      <c r="J17" s="627"/>
      <c r="K17" s="627"/>
      <c r="L17" s="627"/>
      <c r="M17" s="627"/>
      <c r="N17" s="93">
        <f t="shared" ref="N17:N20" si="6">+SUM(I17:M17)</f>
        <v>0</v>
      </c>
      <c r="O17" s="94">
        <f>+VLOOKUP($I$8,'16. Fatores de conversão'!$A$6:$I$14,6,FALSE)*I17+VLOOKUP($J$8,'16. Fatores de conversão'!$A$6:$I$14,6,FALSE)*J17+VLOOKUP($K$8,'16. Fatores de conversão'!$A$6:$I$14,6,FALSE)*K17+VLOOKUP($L$8,'16. Fatores de conversão'!$A$6:$I$14,6,FALSE)*L17+VLOOKUP($M$8,'16. Fatores de conversão'!$A$6:$I$14,6,FALSE)*M17</f>
        <v>0</v>
      </c>
      <c r="P17" s="603">
        <f>+SUMPRODUCT('1. Identificação Ben. Oper.'!$D$56:$H$56,I17:M17)</f>
        <v>0</v>
      </c>
      <c r="Q17" s="636"/>
      <c r="R17" s="637"/>
      <c r="S17" s="637"/>
      <c r="T17" s="637"/>
      <c r="U17" s="637"/>
      <c r="V17" s="93">
        <f t="shared" ref="V17:V20" si="7">+SUM(Q17:U17)</f>
        <v>0</v>
      </c>
      <c r="W17" s="603">
        <f>+SUMPRODUCT('1. Identificação Ben. Oper.'!$D$56:$H$56,Q17:U17)</f>
        <v>0</v>
      </c>
      <c r="X17" s="604">
        <f t="shared" si="5"/>
        <v>0</v>
      </c>
      <c r="Y17" s="94">
        <f>+VLOOKUP($Q$8,'16. Fatores de conversão'!$A$6:$I$14,3,FALSE)*Q17+VLOOKUP($R$8,'16. Fatores de conversão'!$A$6:$I$14,3,FALSE)*R17+VLOOKUP($S$8,'16. Fatores de conversão'!$A$6:$I$14,3,FALSE)*S17+VLOOKUP($T$8,'16. Fatores de conversão'!$A$6:$I$14,3,FALSE)*T17+VLOOKUP($U$8,'16. Fatores de conversão'!$A$6:$I$14,3,FALSE)*U17</f>
        <v>0</v>
      </c>
      <c r="Z17" s="94">
        <f>+VLOOKUP($Q$8,'16. Fatores de conversão'!$A$6:$I$14,6,FALSE)*Q17+VLOOKUP($R$8,'16. Fatores de conversão'!$A$6:$I$14,6,FALSE)*R17+VLOOKUP($S$8,'16. Fatores de conversão'!$A$6:$I$14,6,FALSE)*S17+VLOOKUP($T$8,'16. Fatores de conversão'!$A$6:$I$14,6,FALSE)*T17+VLOOKUP($U$8,'16. Fatores de conversão'!$A$6:$I$14,6,FALSE)*U17</f>
        <v>0</v>
      </c>
      <c r="AA17" s="94">
        <f>(VLOOKUP($Q$8,'16. Fatores de conversão'!$A$6:$I$14,9,FALSE)*Q17+VLOOKUP($R$8,'16. Fatores de conversão'!$A$6:$I$14,9,FALSE)*R17+VLOOKUP($S$8,'16. Fatores de conversão'!$A$6:$I$14,9,FALSE)*S17+VLOOKUP($T$8,'16. Fatores de conversão'!$A$6:$I$14,9,FALSE)*T17+VLOOKUP($U$8,'16. Fatores de conversão'!$A$6:$I$14,9,FALSE)*U17)/1000</f>
        <v>0</v>
      </c>
      <c r="AB17" s="630"/>
      <c r="AC17" s="630"/>
      <c r="AD17" s="638"/>
      <c r="AE17" s="796">
        <f>IF(OR(AC17="",AC17=0),0,IF(OR(AD17="",AD17=0),0,H17+1))</f>
        <v>0</v>
      </c>
      <c r="AF17" s="640"/>
      <c r="AG17" s="641"/>
      <c r="AH17" s="830" t="s">
        <v>196</v>
      </c>
      <c r="AI17" s="603">
        <f t="shared" si="3"/>
        <v>0</v>
      </c>
      <c r="AJ17" s="788">
        <f t="shared" si="4"/>
        <v>0</v>
      </c>
      <c r="AK17" s="12"/>
      <c r="AM17" s="11"/>
      <c r="AN17" s="11"/>
      <c r="AO17" s="11"/>
      <c r="AP17" s="11"/>
      <c r="AQ17" s="11"/>
      <c r="AW17" s="11"/>
      <c r="AX17" s="11"/>
      <c r="AY17" s="95"/>
      <c r="AZ17" s="66"/>
      <c r="BA17" s="66"/>
      <c r="BB17" s="66"/>
      <c r="BC17" s="11"/>
      <c r="BD17" s="11"/>
    </row>
    <row r="18" spans="2:57" ht="30" customHeight="1" x14ac:dyDescent="0.3">
      <c r="B18" s="15"/>
      <c r="C18" s="91">
        <v>8</v>
      </c>
      <c r="D18" s="633"/>
      <c r="E18" s="622"/>
      <c r="F18" s="648"/>
      <c r="G18" s="627"/>
      <c r="H18" s="650"/>
      <c r="I18" s="635"/>
      <c r="J18" s="627"/>
      <c r="K18" s="627"/>
      <c r="L18" s="627"/>
      <c r="M18" s="627"/>
      <c r="N18" s="93">
        <f t="shared" si="6"/>
        <v>0</v>
      </c>
      <c r="O18" s="94">
        <f>+VLOOKUP($I$8,'16. Fatores de conversão'!$A$6:$I$14,6,FALSE)*I18+VLOOKUP($J$8,'16. Fatores de conversão'!$A$6:$I$14,6,FALSE)*J18+VLOOKUP($K$8,'16. Fatores de conversão'!$A$6:$I$14,6,FALSE)*K18+VLOOKUP($L$8,'16. Fatores de conversão'!$A$6:$I$14,6,FALSE)*L18+VLOOKUP($M$8,'16. Fatores de conversão'!$A$6:$I$14,6,FALSE)*M18</f>
        <v>0</v>
      </c>
      <c r="P18" s="603">
        <f>+SUMPRODUCT('1. Identificação Ben. Oper.'!$D$56:$H$56,I18:M18)</f>
        <v>0</v>
      </c>
      <c r="Q18" s="636"/>
      <c r="R18" s="637"/>
      <c r="S18" s="637"/>
      <c r="T18" s="637"/>
      <c r="U18" s="637"/>
      <c r="V18" s="93">
        <f t="shared" si="7"/>
        <v>0</v>
      </c>
      <c r="W18" s="603">
        <f>+SUMPRODUCT('1. Identificação Ben. Oper.'!$D$56:$H$56,Q18:U18)</f>
        <v>0</v>
      </c>
      <c r="X18" s="604">
        <f t="shared" si="5"/>
        <v>0</v>
      </c>
      <c r="Y18" s="94">
        <f>+VLOOKUP($Q$8,'16. Fatores de conversão'!$A$6:$I$14,3,FALSE)*Q18+VLOOKUP($R$8,'16. Fatores de conversão'!$A$6:$I$14,3,FALSE)*R18+VLOOKUP($S$8,'16. Fatores de conversão'!$A$6:$I$14,3,FALSE)*S18+VLOOKUP($T$8,'16. Fatores de conversão'!$A$6:$I$14,3,FALSE)*T18+VLOOKUP($U$8,'16. Fatores de conversão'!$A$6:$I$14,3,FALSE)*U18</f>
        <v>0</v>
      </c>
      <c r="Z18" s="94">
        <f>+VLOOKUP($Q$8,'16. Fatores de conversão'!$A$6:$I$14,6,FALSE)*Q18+VLOOKUP($R$8,'16. Fatores de conversão'!$A$6:$I$14,6,FALSE)*R18+VLOOKUP($S$8,'16. Fatores de conversão'!$A$6:$I$14,6,FALSE)*S18+VLOOKUP($T$8,'16. Fatores de conversão'!$A$6:$I$14,6,FALSE)*T18+VLOOKUP($U$8,'16. Fatores de conversão'!$A$6:$I$14,6,FALSE)*U18</f>
        <v>0</v>
      </c>
      <c r="AA18" s="94">
        <f>(VLOOKUP($Q$8,'16. Fatores de conversão'!$A$6:$I$14,9,FALSE)*Q18+VLOOKUP($R$8,'16. Fatores de conversão'!$A$6:$I$14,9,FALSE)*R18+VLOOKUP($S$8,'16. Fatores de conversão'!$A$6:$I$14,9,FALSE)*S18+VLOOKUP($T$8,'16. Fatores de conversão'!$A$6:$I$14,9,FALSE)*T18+VLOOKUP($U$8,'16. Fatores de conversão'!$A$6:$I$14,9,FALSE)*U18)/1000</f>
        <v>0</v>
      </c>
      <c r="AB18" s="630"/>
      <c r="AC18" s="630"/>
      <c r="AD18" s="638"/>
      <c r="AE18" s="796">
        <f>IF(OR(AC18="",AC18=0),0,IF(OR(AD18="",AD18=0),0,H18+1))</f>
        <v>0</v>
      </c>
      <c r="AF18" s="640"/>
      <c r="AG18" s="641"/>
      <c r="AH18" s="830" t="s">
        <v>196</v>
      </c>
      <c r="AI18" s="603">
        <f t="shared" si="3"/>
        <v>0</v>
      </c>
      <c r="AJ18" s="788">
        <f t="shared" si="4"/>
        <v>0</v>
      </c>
      <c r="AK18" s="12"/>
      <c r="AM18" s="11"/>
      <c r="AN18" s="11"/>
      <c r="AO18" s="11"/>
      <c r="AP18" s="11"/>
      <c r="AQ18" s="11"/>
      <c r="AW18" s="11"/>
      <c r="AX18" s="11"/>
      <c r="AY18" s="95"/>
      <c r="AZ18" s="66"/>
      <c r="BA18" s="66"/>
      <c r="BB18" s="66"/>
      <c r="BC18" s="11"/>
      <c r="BD18" s="11"/>
    </row>
    <row r="19" spans="2:57" ht="30" customHeight="1" x14ac:dyDescent="0.3">
      <c r="B19" s="15"/>
      <c r="C19" s="91">
        <v>9</v>
      </c>
      <c r="D19" s="633"/>
      <c r="E19" s="622"/>
      <c r="F19" s="648"/>
      <c r="G19" s="627"/>
      <c r="H19" s="650"/>
      <c r="I19" s="635"/>
      <c r="J19" s="627"/>
      <c r="K19" s="627"/>
      <c r="L19" s="627"/>
      <c r="M19" s="627"/>
      <c r="N19" s="93">
        <f t="shared" si="6"/>
        <v>0</v>
      </c>
      <c r="O19" s="94">
        <f>+VLOOKUP($I$8,'16. Fatores de conversão'!$A$6:$I$14,6,FALSE)*I19+VLOOKUP($J$8,'16. Fatores de conversão'!$A$6:$I$14,6,FALSE)*J19+VLOOKUP($K$8,'16. Fatores de conversão'!$A$6:$I$14,6,FALSE)*K19+VLOOKUP($L$8,'16. Fatores de conversão'!$A$6:$I$14,6,FALSE)*L19+VLOOKUP($M$8,'16. Fatores de conversão'!$A$6:$I$14,6,FALSE)*M19</f>
        <v>0</v>
      </c>
      <c r="P19" s="603">
        <f>+SUMPRODUCT('1. Identificação Ben. Oper.'!$D$56:$H$56,I19:M19)</f>
        <v>0</v>
      </c>
      <c r="Q19" s="636"/>
      <c r="R19" s="637"/>
      <c r="S19" s="637"/>
      <c r="T19" s="637"/>
      <c r="U19" s="637"/>
      <c r="V19" s="93">
        <f t="shared" si="7"/>
        <v>0</v>
      </c>
      <c r="W19" s="603">
        <f>+SUMPRODUCT('1. Identificação Ben. Oper.'!$D$56:$H$56,Q19:U19)</f>
        <v>0</v>
      </c>
      <c r="X19" s="604">
        <f t="shared" si="5"/>
        <v>0</v>
      </c>
      <c r="Y19" s="94">
        <f>+VLOOKUP($Q$8,'16. Fatores de conversão'!$A$6:$I$14,3,FALSE)*Q19+VLOOKUP($R$8,'16. Fatores de conversão'!$A$6:$I$14,3,FALSE)*R19+VLOOKUP($S$8,'16. Fatores de conversão'!$A$6:$I$14,3,FALSE)*S19+VLOOKUP($T$8,'16. Fatores de conversão'!$A$6:$I$14,3,FALSE)*T19+VLOOKUP($U$8,'16. Fatores de conversão'!$A$6:$I$14,3,FALSE)*U19</f>
        <v>0</v>
      </c>
      <c r="Z19" s="94">
        <f>+VLOOKUP($Q$8,'16. Fatores de conversão'!$A$6:$I$14,6,FALSE)*Q19+VLOOKUP($R$8,'16. Fatores de conversão'!$A$6:$I$14,6,FALSE)*R19+VLOOKUP($S$8,'16. Fatores de conversão'!$A$6:$I$14,6,FALSE)*S19+VLOOKUP($T$8,'16. Fatores de conversão'!$A$6:$I$14,6,FALSE)*T19+VLOOKUP($U$8,'16. Fatores de conversão'!$A$6:$I$14,6,FALSE)*U19</f>
        <v>0</v>
      </c>
      <c r="AA19" s="94">
        <f>(VLOOKUP($Q$8,'16. Fatores de conversão'!$A$6:$I$14,9,FALSE)*Q19+VLOOKUP($R$8,'16. Fatores de conversão'!$A$6:$I$14,9,FALSE)*R19+VLOOKUP($S$8,'16. Fatores de conversão'!$A$6:$I$14,9,FALSE)*S19+VLOOKUP($T$8,'16. Fatores de conversão'!$A$6:$I$14,9,FALSE)*T19+VLOOKUP($U$8,'16. Fatores de conversão'!$A$6:$I$14,9,FALSE)*U19)/1000</f>
        <v>0</v>
      </c>
      <c r="AB19" s="630"/>
      <c r="AC19" s="630"/>
      <c r="AD19" s="638"/>
      <c r="AE19" s="796">
        <f>IF(OR(AC19="",AC19=0),0,IF(OR(AD19="",AD19=0),0,H19+1))</f>
        <v>0</v>
      </c>
      <c r="AF19" s="640"/>
      <c r="AG19" s="641"/>
      <c r="AH19" s="830" t="s">
        <v>196</v>
      </c>
      <c r="AI19" s="603">
        <f t="shared" si="3"/>
        <v>0</v>
      </c>
      <c r="AJ19" s="788">
        <f t="shared" si="4"/>
        <v>0</v>
      </c>
      <c r="AK19" s="12"/>
      <c r="AM19" s="11"/>
      <c r="AN19" s="11"/>
      <c r="AO19" s="11"/>
      <c r="AP19" s="11"/>
      <c r="AQ19" s="11"/>
      <c r="AW19" s="11"/>
      <c r="AX19" s="11"/>
      <c r="AY19" s="95"/>
      <c r="AZ19" s="66"/>
      <c r="BA19" s="66"/>
      <c r="BB19" s="66"/>
      <c r="BC19" s="11"/>
      <c r="BD19" s="11"/>
    </row>
    <row r="20" spans="2:57" ht="30" customHeight="1" thickBot="1" x14ac:dyDescent="0.35">
      <c r="B20" s="15"/>
      <c r="C20" s="97">
        <v>10</v>
      </c>
      <c r="D20" s="645"/>
      <c r="E20" s="651"/>
      <c r="F20" s="652"/>
      <c r="G20" s="647"/>
      <c r="H20" s="653"/>
      <c r="I20" s="654"/>
      <c r="J20" s="647"/>
      <c r="K20" s="647"/>
      <c r="L20" s="647"/>
      <c r="M20" s="647"/>
      <c r="N20" s="98">
        <f t="shared" si="6"/>
        <v>0</v>
      </c>
      <c r="O20" s="94">
        <f>+VLOOKUP($I$8,'16. Fatores de conversão'!$A$6:$I$14,6,FALSE)*I20+VLOOKUP($J$8,'16. Fatores de conversão'!$A$6:$I$14,6,FALSE)*J20+VLOOKUP($K$8,'16. Fatores de conversão'!$A$6:$I$14,6,FALSE)*K20+VLOOKUP($L$8,'16. Fatores de conversão'!$A$6:$I$14,6,FALSE)*L20+VLOOKUP($M$8,'16. Fatores de conversão'!$A$6:$I$14,6,FALSE)*M20</f>
        <v>0</v>
      </c>
      <c r="P20" s="603">
        <f>+SUMPRODUCT('1. Identificação Ben. Oper.'!$D$56:$H$56,I20:M20)</f>
        <v>0</v>
      </c>
      <c r="Q20" s="655"/>
      <c r="R20" s="656"/>
      <c r="S20" s="656"/>
      <c r="T20" s="656"/>
      <c r="U20" s="656"/>
      <c r="V20" s="98">
        <f t="shared" si="7"/>
        <v>0</v>
      </c>
      <c r="W20" s="603">
        <f>+SUMPRODUCT('1. Identificação Ben. Oper.'!$D$56:$H$56,Q20:U20)</f>
        <v>0</v>
      </c>
      <c r="X20" s="604">
        <f t="shared" si="5"/>
        <v>0</v>
      </c>
      <c r="Y20" s="94">
        <f>+VLOOKUP($Q$8,'16. Fatores de conversão'!$A$6:$I$14,3,FALSE)*Q20+VLOOKUP($R$8,'16. Fatores de conversão'!$A$6:$I$14,3,FALSE)*R20+VLOOKUP($S$8,'16. Fatores de conversão'!$A$6:$I$14,3,FALSE)*S20+VLOOKUP($T$8,'16. Fatores de conversão'!$A$6:$I$14,3,FALSE)*T20+VLOOKUP($U$8,'16. Fatores de conversão'!$A$6:$I$14,3,FALSE)*U20</f>
        <v>0</v>
      </c>
      <c r="Z20" s="94">
        <f>+VLOOKUP($Q$8,'16. Fatores de conversão'!$A$6:$I$14,6,FALSE)*Q20+VLOOKUP($R$8,'16. Fatores de conversão'!$A$6:$I$14,6,FALSE)*R20+VLOOKUP($S$8,'16. Fatores de conversão'!$A$6:$I$14,6,FALSE)*S20+VLOOKUP($T$8,'16. Fatores de conversão'!$A$6:$I$14,6,FALSE)*T20+VLOOKUP($U$8,'16. Fatores de conversão'!$A$6:$I$14,6,FALSE)*U20</f>
        <v>0</v>
      </c>
      <c r="AA20" s="94">
        <f>(VLOOKUP($Q$8,'16. Fatores de conversão'!$A$6:$I$14,9,FALSE)*Q20+VLOOKUP($R$8,'16. Fatores de conversão'!$A$6:$I$14,9,FALSE)*R20+VLOOKUP($S$8,'16. Fatores de conversão'!$A$6:$I$14,9,FALSE)*S20+VLOOKUP($T$8,'16. Fatores de conversão'!$A$6:$I$14,9,FALSE)*T20+VLOOKUP($U$8,'16. Fatores de conversão'!$A$6:$I$14,9,FALSE)*U20)/1000</f>
        <v>0</v>
      </c>
      <c r="AB20" s="649"/>
      <c r="AC20" s="649"/>
      <c r="AD20" s="638"/>
      <c r="AE20" s="796">
        <f>IF(OR(AC20="",AC20=0),0,IF(OR(AD20="",AD20=0),0,H20+1))</f>
        <v>0</v>
      </c>
      <c r="AF20" s="642"/>
      <c r="AG20" s="643"/>
      <c r="AH20" s="830" t="s">
        <v>196</v>
      </c>
      <c r="AI20" s="789">
        <f t="shared" si="3"/>
        <v>0</v>
      </c>
      <c r="AJ20" s="788">
        <f t="shared" si="4"/>
        <v>0</v>
      </c>
      <c r="AK20" s="12"/>
      <c r="AM20" s="11"/>
      <c r="AN20" s="11"/>
      <c r="AO20" s="11"/>
      <c r="AP20" s="11"/>
      <c r="AQ20" s="11"/>
      <c r="AS20" s="143"/>
      <c r="AT20" s="143"/>
      <c r="AW20" s="11"/>
      <c r="AX20" s="11"/>
      <c r="AY20" s="95"/>
      <c r="AZ20" s="66"/>
      <c r="BA20" s="66"/>
      <c r="BB20" s="66"/>
      <c r="BC20" s="11"/>
      <c r="BD20" s="11"/>
    </row>
    <row r="21" spans="2:57" ht="15" thickBot="1" x14ac:dyDescent="0.35">
      <c r="B21" s="15"/>
      <c r="C21" s="21"/>
      <c r="D21" s="11"/>
      <c r="E21" s="11"/>
      <c r="F21" s="11"/>
      <c r="G21" s="11"/>
      <c r="H21" s="11"/>
      <c r="I21" s="778">
        <f>SUM(I10:I20)</f>
        <v>0</v>
      </c>
      <c r="J21" s="779">
        <f t="shared" ref="J21:P21" si="8">SUM(J10:J20)</f>
        <v>0</v>
      </c>
      <c r="K21" s="779">
        <f t="shared" si="8"/>
        <v>0</v>
      </c>
      <c r="L21" s="779">
        <f t="shared" si="8"/>
        <v>0</v>
      </c>
      <c r="M21" s="779">
        <f t="shared" si="8"/>
        <v>0</v>
      </c>
      <c r="N21" s="779">
        <f t="shared" si="8"/>
        <v>0</v>
      </c>
      <c r="O21" s="780">
        <f t="shared" si="8"/>
        <v>0</v>
      </c>
      <c r="P21" s="781">
        <f t="shared" si="8"/>
        <v>0</v>
      </c>
      <c r="Q21" s="778">
        <f>SUM(Q10:Q20)</f>
        <v>0</v>
      </c>
      <c r="R21" s="779">
        <f t="shared" ref="R21:U21" si="9">SUM(R10:R20)</f>
        <v>0</v>
      </c>
      <c r="S21" s="779">
        <f t="shared" si="9"/>
        <v>0</v>
      </c>
      <c r="T21" s="779">
        <f t="shared" si="9"/>
        <v>0</v>
      </c>
      <c r="U21" s="779">
        <f t="shared" si="9"/>
        <v>0</v>
      </c>
      <c r="V21" s="779">
        <f>SUM(V10:V20)</f>
        <v>0</v>
      </c>
      <c r="W21" s="782">
        <f>SUM(W10:W20)</f>
        <v>0</v>
      </c>
      <c r="X21" s="783">
        <f t="shared" si="5"/>
        <v>0</v>
      </c>
      <c r="Y21" s="784">
        <f t="shared" ref="Y21:AC21" si="10">SUM(Y10:Y20)</f>
        <v>0</v>
      </c>
      <c r="Z21" s="784">
        <f t="shared" si="10"/>
        <v>0</v>
      </c>
      <c r="AA21" s="784">
        <f t="shared" si="10"/>
        <v>0</v>
      </c>
      <c r="AB21" s="782">
        <f t="shared" si="10"/>
        <v>0</v>
      </c>
      <c r="AC21" s="785">
        <f t="shared" si="10"/>
        <v>0</v>
      </c>
      <c r="AD21" s="415"/>
      <c r="AE21" s="416"/>
      <c r="AF21" s="810">
        <f>SUM(AF10:AF20)</f>
        <v>0</v>
      </c>
      <c r="AG21" s="782">
        <f t="shared" ref="AG21:AH21" si="11">SUM(AG10:AG20)</f>
        <v>0</v>
      </c>
      <c r="AH21" s="782">
        <f t="shared" si="11"/>
        <v>0</v>
      </c>
      <c r="AI21" s="782">
        <f>SUM(AI10:AI20)</f>
        <v>0</v>
      </c>
      <c r="AJ21" s="787">
        <f t="shared" si="4"/>
        <v>0</v>
      </c>
      <c r="AK21" s="12"/>
      <c r="AM21" s="11"/>
      <c r="AN21" s="11"/>
      <c r="AO21" s="11"/>
      <c r="AP21" s="11"/>
      <c r="AQ21" s="11"/>
      <c r="AR21" s="11"/>
      <c r="AS21" s="143"/>
      <c r="AT21" s="143"/>
      <c r="AX21" s="11"/>
      <c r="AY21" s="36"/>
      <c r="AZ21" s="95"/>
      <c r="BA21" s="66"/>
      <c r="BB21" s="66"/>
      <c r="BC21" s="66"/>
      <c r="BD21" s="11"/>
      <c r="BE21" s="11"/>
    </row>
    <row r="22" spans="2:57" s="1" customFormat="1" ht="30" customHeight="1" thickBot="1" x14ac:dyDescent="0.35">
      <c r="B22" s="9"/>
      <c r="C22" s="972" t="s">
        <v>208</v>
      </c>
      <c r="D22" s="973"/>
      <c r="E22" s="775">
        <f>AF21+AG21</f>
        <v>0</v>
      </c>
      <c r="F22" s="21"/>
      <c r="G22" s="21"/>
      <c r="H22" s="21"/>
      <c r="I22" s="21"/>
      <c r="J22" s="21"/>
      <c r="K22" s="21"/>
      <c r="L22" s="21"/>
      <c r="M22" s="60"/>
      <c r="N22" s="60"/>
      <c r="O22" s="21"/>
      <c r="P22" s="21"/>
      <c r="Q22" s="99"/>
      <c r="R22" s="20"/>
      <c r="S22" s="99"/>
      <c r="T22" s="60"/>
      <c r="U22" s="60"/>
      <c r="V22" s="60"/>
      <c r="W22" s="60"/>
      <c r="X22" s="60"/>
      <c r="Y22" s="60"/>
      <c r="Z22" s="60"/>
      <c r="AA22" s="99"/>
      <c r="AB22" s="60"/>
      <c r="AC22" s="21"/>
      <c r="AD22" s="21"/>
      <c r="AE22" s="21"/>
      <c r="AF22" s="21"/>
      <c r="AG22" s="21"/>
      <c r="AH22" s="21"/>
      <c r="AI22" s="21"/>
      <c r="AJ22" s="144"/>
      <c r="AK22" s="12"/>
      <c r="AO22" s="21"/>
      <c r="AP22" s="38"/>
      <c r="AQ22" s="145"/>
      <c r="AR22" s="66"/>
      <c r="AS22" s="143"/>
      <c r="AT22" s="143"/>
      <c r="AU22" s="21"/>
      <c r="AV22" s="21"/>
    </row>
    <row r="23" spans="2:57" ht="30" customHeight="1" thickBot="1" x14ac:dyDescent="0.35">
      <c r="B23" s="15"/>
      <c r="C23" s="972" t="s">
        <v>128</v>
      </c>
      <c r="D23" s="973"/>
      <c r="E23" s="775">
        <f>AI21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  <c r="AP23" s="11"/>
      <c r="AQ23" s="11"/>
      <c r="AR23" s="95"/>
      <c r="AS23" s="143"/>
      <c r="AT23" s="143"/>
      <c r="AU23" s="66"/>
      <c r="AV23" s="11"/>
      <c r="AW23" s="11"/>
    </row>
    <row r="24" spans="2:57" x14ac:dyDescent="0.3">
      <c r="B24" s="15"/>
      <c r="C24" s="2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46"/>
      <c r="AJ24" s="146"/>
      <c r="AK24" s="62"/>
      <c r="AL24" s="76"/>
      <c r="AP24" s="11"/>
      <c r="AQ24" s="11"/>
      <c r="AR24" s="95"/>
      <c r="AS24" s="11"/>
      <c r="AT24" s="66"/>
      <c r="AU24" s="66"/>
      <c r="AV24" s="11"/>
      <c r="AW24" s="11"/>
    </row>
    <row r="25" spans="2:57" ht="15" thickBot="1" x14ac:dyDescent="0.35">
      <c r="B25" s="15"/>
      <c r="C25" s="2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46"/>
      <c r="AJ25" s="146"/>
      <c r="AK25" s="62"/>
      <c r="AL25" s="76"/>
      <c r="AP25" s="11"/>
      <c r="AQ25" s="11"/>
      <c r="AR25" s="95"/>
      <c r="AS25" s="11"/>
      <c r="AT25" s="66"/>
      <c r="AU25" s="66"/>
      <c r="AV25" s="11"/>
      <c r="AW25" s="11"/>
    </row>
    <row r="26" spans="2:57" ht="56.25" customHeight="1" thickBot="1" x14ac:dyDescent="0.35">
      <c r="B26" s="15"/>
      <c r="C26" s="101" t="s">
        <v>51</v>
      </c>
      <c r="D26" s="102"/>
      <c r="E26" s="102"/>
      <c r="F26" s="102"/>
      <c r="G26" s="102"/>
      <c r="H26" s="102"/>
      <c r="I26" s="974" t="s">
        <v>374</v>
      </c>
      <c r="J26" s="975"/>
      <c r="K26" s="976"/>
      <c r="L26" s="976"/>
      <c r="M26" s="976"/>
      <c r="N26" s="976"/>
      <c r="O26" s="976"/>
      <c r="P26" s="976"/>
      <c r="Q26" s="976"/>
      <c r="R26" s="976"/>
      <c r="S26" s="976"/>
      <c r="T26" s="976"/>
      <c r="U26" s="976"/>
      <c r="V26" s="976"/>
      <c r="W26" s="976"/>
      <c r="X26" s="976"/>
      <c r="Y26" s="976"/>
      <c r="Z26" s="976"/>
      <c r="AA26" s="976"/>
      <c r="AB26" s="976"/>
      <c r="AC26" s="976"/>
      <c r="AD26" s="976"/>
      <c r="AE26" s="976"/>
      <c r="AF26" s="976"/>
      <c r="AG26" s="976"/>
      <c r="AH26" s="977"/>
      <c r="AI26" s="146"/>
      <c r="AJ26" s="146"/>
      <c r="AK26" s="62"/>
      <c r="AL26" s="76"/>
      <c r="AP26" s="11"/>
      <c r="AQ26" s="11"/>
      <c r="AR26" s="95"/>
      <c r="AS26" s="11"/>
      <c r="AT26" s="66"/>
      <c r="AU26" s="66"/>
      <c r="AV26" s="11"/>
      <c r="AW26" s="11"/>
    </row>
    <row r="27" spans="2:57" ht="15" thickBot="1" x14ac:dyDescent="0.35">
      <c r="B27" s="15"/>
      <c r="C27" s="103"/>
      <c r="D27" s="104"/>
      <c r="E27" s="104"/>
      <c r="F27" s="104"/>
      <c r="G27" s="105"/>
      <c r="H27" s="104"/>
      <c r="I27" s="993" t="s">
        <v>25</v>
      </c>
      <c r="J27" s="994"/>
      <c r="K27" s="994"/>
      <c r="L27" s="994"/>
      <c r="M27" s="994"/>
      <c r="N27" s="994"/>
      <c r="O27" s="994"/>
      <c r="P27" s="994"/>
      <c r="Q27" s="994"/>
      <c r="R27" s="994"/>
      <c r="S27" s="994"/>
      <c r="T27" s="994"/>
      <c r="U27" s="994"/>
      <c r="V27" s="994"/>
      <c r="W27" s="994"/>
      <c r="X27" s="994"/>
      <c r="Y27" s="994"/>
      <c r="Z27" s="994"/>
      <c r="AA27" s="994"/>
      <c r="AB27" s="994"/>
      <c r="AC27" s="994"/>
      <c r="AD27" s="994"/>
      <c r="AE27" s="994"/>
      <c r="AF27" s="994"/>
      <c r="AG27" s="994"/>
      <c r="AH27" s="995"/>
      <c r="AI27" s="146"/>
      <c r="AJ27" s="146"/>
      <c r="AK27" s="62"/>
      <c r="AL27" s="76"/>
      <c r="AP27" s="11"/>
      <c r="AQ27" s="11"/>
      <c r="AR27" s="11"/>
      <c r="AS27" s="11"/>
      <c r="AT27" s="66"/>
      <c r="AU27" s="66"/>
      <c r="AV27" s="11"/>
      <c r="AW27" s="11"/>
    </row>
    <row r="28" spans="2:57" ht="28.5" customHeight="1" thickBot="1" x14ac:dyDescent="0.35">
      <c r="B28" s="15"/>
      <c r="C28" s="107" t="s">
        <v>52</v>
      </c>
      <c r="D28" s="108" t="s">
        <v>185</v>
      </c>
      <c r="E28" s="108" t="s">
        <v>184</v>
      </c>
      <c r="F28" s="108" t="s">
        <v>190</v>
      </c>
      <c r="G28" s="971" t="s">
        <v>121</v>
      </c>
      <c r="H28" s="971"/>
      <c r="I28" s="109">
        <v>1</v>
      </c>
      <c r="J28" s="109">
        <v>2</v>
      </c>
      <c r="K28" s="109">
        <v>3</v>
      </c>
      <c r="L28" s="109">
        <v>4</v>
      </c>
      <c r="M28" s="109">
        <v>5</v>
      </c>
      <c r="N28" s="109">
        <v>6</v>
      </c>
      <c r="O28" s="109">
        <v>7</v>
      </c>
      <c r="P28" s="109">
        <v>8</v>
      </c>
      <c r="Q28" s="109">
        <v>9</v>
      </c>
      <c r="R28" s="109">
        <v>10</v>
      </c>
      <c r="S28" s="109">
        <v>11</v>
      </c>
      <c r="T28" s="109">
        <v>12</v>
      </c>
      <c r="U28" s="109">
        <v>13</v>
      </c>
      <c r="V28" s="109">
        <v>14</v>
      </c>
      <c r="W28" s="109">
        <v>15</v>
      </c>
      <c r="X28" s="109">
        <v>16</v>
      </c>
      <c r="Y28" s="109">
        <v>17</v>
      </c>
      <c r="Z28" s="109">
        <v>18</v>
      </c>
      <c r="AA28" s="109">
        <v>19</v>
      </c>
      <c r="AB28" s="109">
        <v>20</v>
      </c>
      <c r="AC28" s="109">
        <v>21</v>
      </c>
      <c r="AD28" s="109">
        <v>22</v>
      </c>
      <c r="AE28" s="109">
        <v>23</v>
      </c>
      <c r="AF28" s="109">
        <v>24</v>
      </c>
      <c r="AG28" s="109">
        <v>25</v>
      </c>
      <c r="AH28" s="110" t="s">
        <v>53</v>
      </c>
      <c r="AI28" s="146"/>
      <c r="AJ28" s="146"/>
      <c r="AK28" s="62"/>
      <c r="AL28" s="11"/>
      <c r="AM28" s="11"/>
    </row>
    <row r="29" spans="2:57" ht="15" thickBot="1" x14ac:dyDescent="0.35">
      <c r="B29" s="15"/>
      <c r="C29" s="111">
        <f>C10</f>
        <v>1</v>
      </c>
      <c r="D29" s="112">
        <f>W10</f>
        <v>0</v>
      </c>
      <c r="E29" s="112">
        <f t="shared" ref="E29:F33" si="12">AB10</f>
        <v>0</v>
      </c>
      <c r="F29" s="112">
        <f t="shared" si="12"/>
        <v>0</v>
      </c>
      <c r="G29" s="112">
        <f>IF(D29="",0,D29-E29)</f>
        <v>0</v>
      </c>
      <c r="H29" s="113"/>
      <c r="I29" s="114">
        <f>IF($H10&gt;=25,$G29,IF(I$28&lt;=$H10,$G29,IF(I$28&lt;=($H10*($AD10+1)),$G29,0)))-IF($H10="",0,IF(I$28-1&lt;=($H10*$AD10),$F29,0))*IF(OR($AE10=0,$AE10&gt;25),0,IF(MOD(I$28,$H10)=0,1,0))</f>
        <v>0</v>
      </c>
      <c r="J29" s="114">
        <f t="shared" ref="J29:AG29" si="13">IF($H10&gt;=25,$G29,IF(J$28&lt;=$H10,$G29,IF(J$28&lt;=($H10*($AD10+1)),$G29,0)))-IF($H10="",0,IF(J$28-1&lt;=($H10*$AD10),$F29,0))*IF(OR($AE10=0,$AE10&gt;25),0,IF(MOD(J$28-1,$H10)=0,1,0))</f>
        <v>0</v>
      </c>
      <c r="K29" s="114">
        <f t="shared" si="13"/>
        <v>0</v>
      </c>
      <c r="L29" s="114">
        <f t="shared" si="13"/>
        <v>0</v>
      </c>
      <c r="M29" s="114">
        <f t="shared" si="13"/>
        <v>0</v>
      </c>
      <c r="N29" s="114">
        <f t="shared" si="13"/>
        <v>0</v>
      </c>
      <c r="O29" s="114">
        <f t="shared" si="13"/>
        <v>0</v>
      </c>
      <c r="P29" s="114">
        <f t="shared" si="13"/>
        <v>0</v>
      </c>
      <c r="Q29" s="114">
        <f t="shared" si="13"/>
        <v>0</v>
      </c>
      <c r="R29" s="114">
        <f t="shared" si="13"/>
        <v>0</v>
      </c>
      <c r="S29" s="114">
        <f t="shared" si="13"/>
        <v>0</v>
      </c>
      <c r="T29" s="114">
        <f t="shared" si="13"/>
        <v>0</v>
      </c>
      <c r="U29" s="114">
        <f t="shared" si="13"/>
        <v>0</v>
      </c>
      <c r="V29" s="114">
        <f t="shared" si="13"/>
        <v>0</v>
      </c>
      <c r="W29" s="114">
        <f t="shared" si="13"/>
        <v>0</v>
      </c>
      <c r="X29" s="114">
        <f t="shared" si="13"/>
        <v>0</v>
      </c>
      <c r="Y29" s="114">
        <f t="shared" si="13"/>
        <v>0</v>
      </c>
      <c r="Z29" s="114">
        <f t="shared" si="13"/>
        <v>0</v>
      </c>
      <c r="AA29" s="114">
        <f t="shared" si="13"/>
        <v>0</v>
      </c>
      <c r="AB29" s="114">
        <f t="shared" si="13"/>
        <v>0</v>
      </c>
      <c r="AC29" s="114">
        <f t="shared" si="13"/>
        <v>0</v>
      </c>
      <c r="AD29" s="114">
        <f t="shared" si="13"/>
        <v>0</v>
      </c>
      <c r="AE29" s="114">
        <f t="shared" si="13"/>
        <v>0</v>
      </c>
      <c r="AF29" s="114">
        <f t="shared" si="13"/>
        <v>0</v>
      </c>
      <c r="AG29" s="114">
        <f t="shared" si="13"/>
        <v>0</v>
      </c>
      <c r="AH29" s="115">
        <f t="shared" ref="AH29:AH38" si="14">SUM(I29:AG29)</f>
        <v>0</v>
      </c>
      <c r="AI29" s="146"/>
      <c r="AJ29" s="146"/>
      <c r="AK29" s="62"/>
    </row>
    <row r="30" spans="2:57" ht="15" thickBot="1" x14ac:dyDescent="0.35">
      <c r="B30" s="15"/>
      <c r="C30" s="111">
        <f>C11</f>
        <v>2</v>
      </c>
      <c r="D30" s="112">
        <f>W11</f>
        <v>0</v>
      </c>
      <c r="E30" s="112">
        <f t="shared" si="12"/>
        <v>0</v>
      </c>
      <c r="F30" s="112">
        <f t="shared" si="12"/>
        <v>0</v>
      </c>
      <c r="G30" s="112">
        <f t="shared" ref="G30:G38" si="15">IF(D30="",0,D30-E30)</f>
        <v>0</v>
      </c>
      <c r="H30" s="116"/>
      <c r="I30" s="114">
        <f>IF($H11&gt;=25,$G30,IF(I$28&lt;=$H11,$G30,IF(I$28&lt;=($H11*($AD11+1)),$G30,0)))-IF($H11="",0,IF(I$28-1&lt;=($H11*$AD11),$F30,0))*IF(OR($AE11=0,$AE11&gt;25),0,IF(MOD(I$28,$H11)=0,1,0))</f>
        <v>0</v>
      </c>
      <c r="J30" s="114">
        <f t="shared" ref="J30:AG30" si="16">IF($H11&gt;=25,$G30,IF(J$28&lt;=$H11,$G30,IF(J$28&lt;=($H11*($AD11+1)),$G30,0)))-IF($H11="",0,IF(J$28-1&lt;=($H11*$AD11),$F30,0))*IF(OR($AE11=0,$AE11&gt;25),0,IF(MOD(J$28-1,$H11)=0,1,0))</f>
        <v>0</v>
      </c>
      <c r="K30" s="114">
        <f t="shared" si="16"/>
        <v>0</v>
      </c>
      <c r="L30" s="114">
        <f t="shared" si="16"/>
        <v>0</v>
      </c>
      <c r="M30" s="114">
        <f t="shared" si="16"/>
        <v>0</v>
      </c>
      <c r="N30" s="114">
        <f t="shared" si="16"/>
        <v>0</v>
      </c>
      <c r="O30" s="114">
        <f t="shared" si="16"/>
        <v>0</v>
      </c>
      <c r="P30" s="114">
        <f t="shared" si="16"/>
        <v>0</v>
      </c>
      <c r="Q30" s="114">
        <f t="shared" si="16"/>
        <v>0</v>
      </c>
      <c r="R30" s="114">
        <f t="shared" si="16"/>
        <v>0</v>
      </c>
      <c r="S30" s="114">
        <f t="shared" si="16"/>
        <v>0</v>
      </c>
      <c r="T30" s="114">
        <f t="shared" si="16"/>
        <v>0</v>
      </c>
      <c r="U30" s="114">
        <f t="shared" si="16"/>
        <v>0</v>
      </c>
      <c r="V30" s="114">
        <f t="shared" si="16"/>
        <v>0</v>
      </c>
      <c r="W30" s="114">
        <f t="shared" si="16"/>
        <v>0</v>
      </c>
      <c r="X30" s="114">
        <f t="shared" si="16"/>
        <v>0</v>
      </c>
      <c r="Y30" s="114">
        <f t="shared" si="16"/>
        <v>0</v>
      </c>
      <c r="Z30" s="114">
        <f t="shared" si="16"/>
        <v>0</v>
      </c>
      <c r="AA30" s="114">
        <f t="shared" si="16"/>
        <v>0</v>
      </c>
      <c r="AB30" s="114">
        <f t="shared" si="16"/>
        <v>0</v>
      </c>
      <c r="AC30" s="114">
        <f t="shared" si="16"/>
        <v>0</v>
      </c>
      <c r="AD30" s="114">
        <f t="shared" si="16"/>
        <v>0</v>
      </c>
      <c r="AE30" s="114">
        <f t="shared" si="16"/>
        <v>0</v>
      </c>
      <c r="AF30" s="114">
        <f t="shared" si="16"/>
        <v>0</v>
      </c>
      <c r="AG30" s="114">
        <f t="shared" si="16"/>
        <v>0</v>
      </c>
      <c r="AH30" s="115">
        <f t="shared" si="14"/>
        <v>0</v>
      </c>
      <c r="AI30" s="146"/>
      <c r="AJ30" s="146"/>
      <c r="AK30" s="62"/>
    </row>
    <row r="31" spans="2:57" ht="15" thickBot="1" x14ac:dyDescent="0.35">
      <c r="B31" s="15"/>
      <c r="C31" s="111">
        <f>C12</f>
        <v>3</v>
      </c>
      <c r="D31" s="112">
        <f>W12</f>
        <v>0</v>
      </c>
      <c r="E31" s="112">
        <f t="shared" si="12"/>
        <v>0</v>
      </c>
      <c r="F31" s="112">
        <f t="shared" si="12"/>
        <v>0</v>
      </c>
      <c r="G31" s="112">
        <f t="shared" si="15"/>
        <v>0</v>
      </c>
      <c r="H31" s="116"/>
      <c r="I31" s="114">
        <f>IF($H12&gt;=25,$G31,IF(I$28&lt;=$H12,$G31,IF(I$28&lt;=($H12*($AD12+1)),$G31,0)))-IF($H12="",0,IF(I$28-1&lt;=($H12*$AD12),$F31,0))*IF(OR($AE12=0,$AE12&gt;25),0,IF(MOD(I$28,$H12)=0,1,0))</f>
        <v>0</v>
      </c>
      <c r="J31" s="114">
        <f t="shared" ref="J31:AG31" si="17">IF($H12&gt;=25,$G31,IF(J$28&lt;=$H12,$G31,IF(J$28&lt;=($H12*($AD12+1)),$G31,0)))-IF($H12="",0,IF(J$28-1&lt;=($H12*$AD12),$F31,0))*IF(OR($AE12=0,$AE12&gt;25),0,IF(MOD(J$28-1,$H12)=0,1,0))</f>
        <v>0</v>
      </c>
      <c r="K31" s="114">
        <f t="shared" si="17"/>
        <v>0</v>
      </c>
      <c r="L31" s="114">
        <f t="shared" si="17"/>
        <v>0</v>
      </c>
      <c r="M31" s="114">
        <f t="shared" si="17"/>
        <v>0</v>
      </c>
      <c r="N31" s="114">
        <f t="shared" si="17"/>
        <v>0</v>
      </c>
      <c r="O31" s="114">
        <f t="shared" si="17"/>
        <v>0</v>
      </c>
      <c r="P31" s="114">
        <f t="shared" si="17"/>
        <v>0</v>
      </c>
      <c r="Q31" s="114">
        <f t="shared" si="17"/>
        <v>0</v>
      </c>
      <c r="R31" s="114">
        <f t="shared" si="17"/>
        <v>0</v>
      </c>
      <c r="S31" s="114">
        <f t="shared" si="17"/>
        <v>0</v>
      </c>
      <c r="T31" s="114">
        <f t="shared" si="17"/>
        <v>0</v>
      </c>
      <c r="U31" s="114">
        <f t="shared" si="17"/>
        <v>0</v>
      </c>
      <c r="V31" s="114">
        <f t="shared" si="17"/>
        <v>0</v>
      </c>
      <c r="W31" s="114">
        <f t="shared" si="17"/>
        <v>0</v>
      </c>
      <c r="X31" s="114">
        <f t="shared" si="17"/>
        <v>0</v>
      </c>
      <c r="Y31" s="114">
        <f t="shared" si="17"/>
        <v>0</v>
      </c>
      <c r="Z31" s="114">
        <f t="shared" si="17"/>
        <v>0</v>
      </c>
      <c r="AA31" s="114">
        <f t="shared" si="17"/>
        <v>0</v>
      </c>
      <c r="AB31" s="114">
        <f t="shared" si="17"/>
        <v>0</v>
      </c>
      <c r="AC31" s="114">
        <f t="shared" si="17"/>
        <v>0</v>
      </c>
      <c r="AD31" s="114">
        <f t="shared" si="17"/>
        <v>0</v>
      </c>
      <c r="AE31" s="114">
        <f t="shared" si="17"/>
        <v>0</v>
      </c>
      <c r="AF31" s="114">
        <f t="shared" si="17"/>
        <v>0</v>
      </c>
      <c r="AG31" s="114">
        <f t="shared" si="17"/>
        <v>0</v>
      </c>
      <c r="AH31" s="115">
        <f t="shared" si="14"/>
        <v>0</v>
      </c>
      <c r="AI31" s="146"/>
      <c r="AJ31" s="146"/>
      <c r="AK31" s="62"/>
    </row>
    <row r="32" spans="2:57" ht="15" thickBot="1" x14ac:dyDescent="0.35">
      <c r="B32" s="15"/>
      <c r="C32" s="111">
        <f>C13</f>
        <v>4</v>
      </c>
      <c r="D32" s="112">
        <f>W13</f>
        <v>0</v>
      </c>
      <c r="E32" s="112">
        <f t="shared" si="12"/>
        <v>0</v>
      </c>
      <c r="F32" s="112">
        <f t="shared" si="12"/>
        <v>0</v>
      </c>
      <c r="G32" s="112">
        <f t="shared" si="15"/>
        <v>0</v>
      </c>
      <c r="H32" s="116"/>
      <c r="I32" s="114">
        <f>IF($H13&gt;=25,$G32,IF(I$28&lt;=$H13,$G32,IF(I$28&lt;=($H13*($AD13+1)),$G32,0)))-IF($H13="",0,IF(I$28-1&lt;=($H13*$AD13),$F32,0))*IF(OR($AE13=0,$AE13&gt;25),0,IF(MOD(I$28,$H13)=0,1,0))</f>
        <v>0</v>
      </c>
      <c r="J32" s="114">
        <f t="shared" ref="J32:AG32" si="18">IF($H13&gt;=25,$G32,IF(J$28&lt;=$H13,$G32,IF(J$28&lt;=($H13*($AD13+1)),$G32,0)))-IF($H13="",0,IF(J$28-1&lt;=($H13*$AD13),$F32,0))*IF(OR($AE13=0,$AE13&gt;25),0,IF(MOD(J$28-1,$H13)=0,1,0))</f>
        <v>0</v>
      </c>
      <c r="K32" s="114">
        <f t="shared" si="18"/>
        <v>0</v>
      </c>
      <c r="L32" s="114">
        <f t="shared" si="18"/>
        <v>0</v>
      </c>
      <c r="M32" s="114">
        <f t="shared" si="18"/>
        <v>0</v>
      </c>
      <c r="N32" s="114">
        <f t="shared" si="18"/>
        <v>0</v>
      </c>
      <c r="O32" s="114">
        <f t="shared" si="18"/>
        <v>0</v>
      </c>
      <c r="P32" s="114">
        <f t="shared" si="18"/>
        <v>0</v>
      </c>
      <c r="Q32" s="114">
        <f t="shared" si="18"/>
        <v>0</v>
      </c>
      <c r="R32" s="114">
        <f t="shared" si="18"/>
        <v>0</v>
      </c>
      <c r="S32" s="114">
        <f t="shared" si="18"/>
        <v>0</v>
      </c>
      <c r="T32" s="114">
        <f t="shared" si="18"/>
        <v>0</v>
      </c>
      <c r="U32" s="114">
        <f t="shared" si="18"/>
        <v>0</v>
      </c>
      <c r="V32" s="114">
        <f t="shared" si="18"/>
        <v>0</v>
      </c>
      <c r="W32" s="114">
        <f t="shared" si="18"/>
        <v>0</v>
      </c>
      <c r="X32" s="114">
        <f t="shared" si="18"/>
        <v>0</v>
      </c>
      <c r="Y32" s="114">
        <f t="shared" si="18"/>
        <v>0</v>
      </c>
      <c r="Z32" s="114">
        <f t="shared" si="18"/>
        <v>0</v>
      </c>
      <c r="AA32" s="114">
        <f t="shared" si="18"/>
        <v>0</v>
      </c>
      <c r="AB32" s="114">
        <f t="shared" si="18"/>
        <v>0</v>
      </c>
      <c r="AC32" s="114">
        <f t="shared" si="18"/>
        <v>0</v>
      </c>
      <c r="AD32" s="114">
        <f t="shared" si="18"/>
        <v>0</v>
      </c>
      <c r="AE32" s="114">
        <f t="shared" si="18"/>
        <v>0</v>
      </c>
      <c r="AF32" s="114">
        <f t="shared" si="18"/>
        <v>0</v>
      </c>
      <c r="AG32" s="114">
        <f t="shared" si="18"/>
        <v>0</v>
      </c>
      <c r="AH32" s="115">
        <f t="shared" si="14"/>
        <v>0</v>
      </c>
      <c r="AI32" s="146"/>
      <c r="AJ32" s="146"/>
      <c r="AK32" s="62"/>
    </row>
    <row r="33" spans="2:37" ht="15" thickBot="1" x14ac:dyDescent="0.35">
      <c r="B33" s="15"/>
      <c r="C33" s="111">
        <f>C14</f>
        <v>5</v>
      </c>
      <c r="D33" s="112">
        <f>W14</f>
        <v>0</v>
      </c>
      <c r="E33" s="112">
        <f t="shared" si="12"/>
        <v>0</v>
      </c>
      <c r="F33" s="112">
        <f t="shared" si="12"/>
        <v>0</v>
      </c>
      <c r="G33" s="112">
        <f t="shared" si="15"/>
        <v>0</v>
      </c>
      <c r="H33" s="116"/>
      <c r="I33" s="114">
        <f>IF($H14&gt;=25,$G33,IF(I$28&lt;=$H14,$G33,IF(I$28&lt;=($H14*($AD14+1)),$G33,0)))-IF($H14="",0,IF(I$28-1&lt;=($H14*$AD14),$F33,0))*IF(OR($AE14=0,$AE14&gt;25),0,IF(MOD(I$28,$H14)=0,1,0))</f>
        <v>0</v>
      </c>
      <c r="J33" s="114">
        <f t="shared" ref="J33:AG33" si="19">IF($H14&gt;=25,$G33,IF(J$28&lt;=$H14,$G33,IF(J$28&lt;=($H14*($AD14+1)),$G33,0)))-IF($H14="",0,IF(J$28-1&lt;=($H14*$AD14),$F33,0))*IF(OR($AE14=0,$AE14&gt;25),0,IF(MOD(J$28-1,$H14)=0,1,0))</f>
        <v>0</v>
      </c>
      <c r="K33" s="114">
        <f t="shared" si="19"/>
        <v>0</v>
      </c>
      <c r="L33" s="114">
        <f t="shared" si="19"/>
        <v>0</v>
      </c>
      <c r="M33" s="114">
        <f t="shared" si="19"/>
        <v>0</v>
      </c>
      <c r="N33" s="114">
        <f t="shared" si="19"/>
        <v>0</v>
      </c>
      <c r="O33" s="114">
        <f t="shared" si="19"/>
        <v>0</v>
      </c>
      <c r="P33" s="114">
        <f t="shared" si="19"/>
        <v>0</v>
      </c>
      <c r="Q33" s="114">
        <f t="shared" si="19"/>
        <v>0</v>
      </c>
      <c r="R33" s="114">
        <f t="shared" si="19"/>
        <v>0</v>
      </c>
      <c r="S33" s="114">
        <f t="shared" si="19"/>
        <v>0</v>
      </c>
      <c r="T33" s="114">
        <f t="shared" si="19"/>
        <v>0</v>
      </c>
      <c r="U33" s="114">
        <f t="shared" si="19"/>
        <v>0</v>
      </c>
      <c r="V33" s="114">
        <f t="shared" si="19"/>
        <v>0</v>
      </c>
      <c r="W33" s="114">
        <f t="shared" si="19"/>
        <v>0</v>
      </c>
      <c r="X33" s="114">
        <f t="shared" si="19"/>
        <v>0</v>
      </c>
      <c r="Y33" s="114">
        <f t="shared" si="19"/>
        <v>0</v>
      </c>
      <c r="Z33" s="114">
        <f t="shared" si="19"/>
        <v>0</v>
      </c>
      <c r="AA33" s="114">
        <f t="shared" si="19"/>
        <v>0</v>
      </c>
      <c r="AB33" s="114">
        <f t="shared" si="19"/>
        <v>0</v>
      </c>
      <c r="AC33" s="114">
        <f t="shared" si="19"/>
        <v>0</v>
      </c>
      <c r="AD33" s="114">
        <f t="shared" si="19"/>
        <v>0</v>
      </c>
      <c r="AE33" s="114">
        <f t="shared" si="19"/>
        <v>0</v>
      </c>
      <c r="AF33" s="114">
        <f t="shared" si="19"/>
        <v>0</v>
      </c>
      <c r="AG33" s="114">
        <f t="shared" si="19"/>
        <v>0</v>
      </c>
      <c r="AH33" s="115">
        <f t="shared" si="14"/>
        <v>0</v>
      </c>
      <c r="AI33" s="146"/>
      <c r="AJ33" s="146"/>
      <c r="AK33" s="62"/>
    </row>
    <row r="34" spans="2:37" ht="15" thickBot="1" x14ac:dyDescent="0.35">
      <c r="B34" s="15"/>
      <c r="C34" s="111">
        <f>C16</f>
        <v>6</v>
      </c>
      <c r="D34" s="117">
        <f>W16</f>
        <v>0</v>
      </c>
      <c r="E34" s="117">
        <f t="shared" ref="E34:F38" si="20">AB16</f>
        <v>0</v>
      </c>
      <c r="F34" s="117">
        <f t="shared" si="20"/>
        <v>0</v>
      </c>
      <c r="G34" s="112">
        <f t="shared" si="15"/>
        <v>0</v>
      </c>
      <c r="H34" s="118"/>
      <c r="I34" s="114">
        <f>IF($H16&gt;=25,$G34,IF(I$28&lt;=$H16,$G34,IF(I$28&lt;=($H16*($AD16+1)),$G34,0)))-IF(I$28-1&lt;=($H16*$AD16),$F34,0)*IF(OR($AE16=0,$AE16&gt;25),0,IF(MOD(I$28,$H16)=0,1,0))</f>
        <v>0</v>
      </c>
      <c r="J34" s="114">
        <f t="shared" ref="J34:AG34" si="21">IF($H16&gt;=25,$G34,IF(J$28&lt;=$H16,$G34,IF(J$28&lt;=($H16*($AD16+1)),$G34,0)))-IF(J$28-1&lt;=($H16*$AD16),$F34,0)*IF(OR($AE16=0,$AE16&gt;25),0,IF(MOD(J$28-1,$H16)=0,1,0))</f>
        <v>0</v>
      </c>
      <c r="K34" s="114">
        <f t="shared" si="21"/>
        <v>0</v>
      </c>
      <c r="L34" s="114">
        <f t="shared" si="21"/>
        <v>0</v>
      </c>
      <c r="M34" s="114">
        <f t="shared" si="21"/>
        <v>0</v>
      </c>
      <c r="N34" s="114">
        <f t="shared" si="21"/>
        <v>0</v>
      </c>
      <c r="O34" s="114">
        <f t="shared" si="21"/>
        <v>0</v>
      </c>
      <c r="P34" s="114">
        <f t="shared" si="21"/>
        <v>0</v>
      </c>
      <c r="Q34" s="114">
        <f t="shared" si="21"/>
        <v>0</v>
      </c>
      <c r="R34" s="114">
        <f t="shared" si="21"/>
        <v>0</v>
      </c>
      <c r="S34" s="114">
        <f t="shared" si="21"/>
        <v>0</v>
      </c>
      <c r="T34" s="114">
        <f t="shared" si="21"/>
        <v>0</v>
      </c>
      <c r="U34" s="114">
        <f t="shared" si="21"/>
        <v>0</v>
      </c>
      <c r="V34" s="114">
        <f t="shared" si="21"/>
        <v>0</v>
      </c>
      <c r="W34" s="114">
        <f t="shared" si="21"/>
        <v>0</v>
      </c>
      <c r="X34" s="114">
        <f t="shared" si="21"/>
        <v>0</v>
      </c>
      <c r="Y34" s="114">
        <f t="shared" si="21"/>
        <v>0</v>
      </c>
      <c r="Z34" s="114">
        <f t="shared" si="21"/>
        <v>0</v>
      </c>
      <c r="AA34" s="114">
        <f t="shared" si="21"/>
        <v>0</v>
      </c>
      <c r="AB34" s="114">
        <f t="shared" si="21"/>
        <v>0</v>
      </c>
      <c r="AC34" s="114">
        <f t="shared" si="21"/>
        <v>0</v>
      </c>
      <c r="AD34" s="114">
        <f t="shared" si="21"/>
        <v>0</v>
      </c>
      <c r="AE34" s="114">
        <f t="shared" si="21"/>
        <v>0</v>
      </c>
      <c r="AF34" s="114">
        <f t="shared" si="21"/>
        <v>0</v>
      </c>
      <c r="AG34" s="114">
        <f t="shared" si="21"/>
        <v>0</v>
      </c>
      <c r="AH34" s="115">
        <f t="shared" si="14"/>
        <v>0</v>
      </c>
      <c r="AI34" s="146"/>
      <c r="AJ34" s="146"/>
      <c r="AK34" s="62"/>
    </row>
    <row r="35" spans="2:37" ht="15" thickBot="1" x14ac:dyDescent="0.35">
      <c r="B35" s="15"/>
      <c r="C35" s="111">
        <f>C17</f>
        <v>7</v>
      </c>
      <c r="D35" s="117">
        <f>W17</f>
        <v>0</v>
      </c>
      <c r="E35" s="117">
        <f t="shared" si="20"/>
        <v>0</v>
      </c>
      <c r="F35" s="117">
        <f t="shared" si="20"/>
        <v>0</v>
      </c>
      <c r="G35" s="112">
        <f t="shared" si="15"/>
        <v>0</v>
      </c>
      <c r="H35" s="118"/>
      <c r="I35" s="114">
        <f>IF($H17&gt;=25,$G35,IF(I$28&lt;=$H17,$G35,IF(I$28&lt;=($H17*($AD17+1)),$G35,0)))-IF(I$28-1&lt;=($H17*$AD17),$F35,0)*IF(OR($AE17=0,$AE17&gt;25),0,IF(MOD(I$28,$H17)=0,1,0))</f>
        <v>0</v>
      </c>
      <c r="J35" s="114">
        <f t="shared" ref="J35:AG35" si="22">IF($H17&gt;=25,$G35,IF(J$28&lt;=$H17,$G35,IF(J$28&lt;=($H17*($AD17+1)),$G35,0)))-IF(J$28-1&lt;=($H17*$AD17),$F35,0)*IF(OR($AE17=0,$AE17&gt;25),0,IF(MOD(J$28-1,$H17)=0,1,0))</f>
        <v>0</v>
      </c>
      <c r="K35" s="114">
        <f t="shared" si="22"/>
        <v>0</v>
      </c>
      <c r="L35" s="114">
        <f t="shared" si="22"/>
        <v>0</v>
      </c>
      <c r="M35" s="114">
        <f t="shared" si="22"/>
        <v>0</v>
      </c>
      <c r="N35" s="114">
        <f t="shared" si="22"/>
        <v>0</v>
      </c>
      <c r="O35" s="114">
        <f t="shared" si="22"/>
        <v>0</v>
      </c>
      <c r="P35" s="114">
        <f t="shared" si="22"/>
        <v>0</v>
      </c>
      <c r="Q35" s="114">
        <f t="shared" si="22"/>
        <v>0</v>
      </c>
      <c r="R35" s="114">
        <f t="shared" si="22"/>
        <v>0</v>
      </c>
      <c r="S35" s="114">
        <f t="shared" si="22"/>
        <v>0</v>
      </c>
      <c r="T35" s="114">
        <f t="shared" si="22"/>
        <v>0</v>
      </c>
      <c r="U35" s="114">
        <f t="shared" si="22"/>
        <v>0</v>
      </c>
      <c r="V35" s="114">
        <f t="shared" si="22"/>
        <v>0</v>
      </c>
      <c r="W35" s="114">
        <f t="shared" si="22"/>
        <v>0</v>
      </c>
      <c r="X35" s="114">
        <f t="shared" si="22"/>
        <v>0</v>
      </c>
      <c r="Y35" s="114">
        <f t="shared" si="22"/>
        <v>0</v>
      </c>
      <c r="Z35" s="114">
        <f t="shared" si="22"/>
        <v>0</v>
      </c>
      <c r="AA35" s="114">
        <f t="shared" si="22"/>
        <v>0</v>
      </c>
      <c r="AB35" s="114">
        <f t="shared" si="22"/>
        <v>0</v>
      </c>
      <c r="AC35" s="114">
        <f t="shared" si="22"/>
        <v>0</v>
      </c>
      <c r="AD35" s="114">
        <f t="shared" si="22"/>
        <v>0</v>
      </c>
      <c r="AE35" s="114">
        <f t="shared" si="22"/>
        <v>0</v>
      </c>
      <c r="AF35" s="114">
        <f t="shared" si="22"/>
        <v>0</v>
      </c>
      <c r="AG35" s="114">
        <f t="shared" si="22"/>
        <v>0</v>
      </c>
      <c r="AH35" s="115">
        <f>SUM(I35:AG35)</f>
        <v>0</v>
      </c>
      <c r="AI35" s="146"/>
      <c r="AJ35" s="146"/>
      <c r="AK35" s="62"/>
    </row>
    <row r="36" spans="2:37" ht="15" thickBot="1" x14ac:dyDescent="0.35">
      <c r="B36" s="15"/>
      <c r="C36" s="111">
        <f>C18</f>
        <v>8</v>
      </c>
      <c r="D36" s="117">
        <f>W18</f>
        <v>0</v>
      </c>
      <c r="E36" s="117">
        <f t="shared" si="20"/>
        <v>0</v>
      </c>
      <c r="F36" s="117">
        <f t="shared" si="20"/>
        <v>0</v>
      </c>
      <c r="G36" s="112">
        <f t="shared" si="15"/>
        <v>0</v>
      </c>
      <c r="H36" s="118"/>
      <c r="I36" s="114">
        <f>IF($H18&gt;=25,$G36,IF(I$28&lt;=$H18,$G36,IF(I$28&lt;=($H18*($AD18+1)),$G36,0)))-IF(I$28-1&lt;=($H18*$AD18),$F36,0)*IF(OR($AE18=0,$AE18&gt;25),0,IF(MOD(I$28,$H18)=0,1,0))</f>
        <v>0</v>
      </c>
      <c r="J36" s="114">
        <f t="shared" ref="J36:AG36" si="23">IF($H18&gt;=25,$G36,IF(J$28&lt;=$H18,$G36,IF(J$28&lt;=($H18*($AD18+1)),$G36,0)))-IF(J$28-1&lt;=($H18*$AD18),$F36,0)*IF(OR($AE18=0,$AE18&gt;25),0,IF(MOD(J$28-1,$H18)=0,1,0))</f>
        <v>0</v>
      </c>
      <c r="K36" s="114">
        <f t="shared" si="23"/>
        <v>0</v>
      </c>
      <c r="L36" s="114">
        <f t="shared" si="23"/>
        <v>0</v>
      </c>
      <c r="M36" s="114">
        <f t="shared" si="23"/>
        <v>0</v>
      </c>
      <c r="N36" s="114">
        <f t="shared" si="23"/>
        <v>0</v>
      </c>
      <c r="O36" s="114">
        <f t="shared" si="23"/>
        <v>0</v>
      </c>
      <c r="P36" s="114">
        <f t="shared" si="23"/>
        <v>0</v>
      </c>
      <c r="Q36" s="114">
        <f t="shared" si="23"/>
        <v>0</v>
      </c>
      <c r="R36" s="114">
        <f t="shared" si="23"/>
        <v>0</v>
      </c>
      <c r="S36" s="114">
        <f t="shared" si="23"/>
        <v>0</v>
      </c>
      <c r="T36" s="114">
        <f t="shared" si="23"/>
        <v>0</v>
      </c>
      <c r="U36" s="114">
        <f t="shared" si="23"/>
        <v>0</v>
      </c>
      <c r="V36" s="114">
        <f t="shared" si="23"/>
        <v>0</v>
      </c>
      <c r="W36" s="114">
        <f t="shared" si="23"/>
        <v>0</v>
      </c>
      <c r="X36" s="114">
        <f t="shared" si="23"/>
        <v>0</v>
      </c>
      <c r="Y36" s="114">
        <f t="shared" si="23"/>
        <v>0</v>
      </c>
      <c r="Z36" s="114">
        <f t="shared" si="23"/>
        <v>0</v>
      </c>
      <c r="AA36" s="114">
        <f t="shared" si="23"/>
        <v>0</v>
      </c>
      <c r="AB36" s="114">
        <f t="shared" si="23"/>
        <v>0</v>
      </c>
      <c r="AC36" s="114">
        <f t="shared" si="23"/>
        <v>0</v>
      </c>
      <c r="AD36" s="114">
        <f t="shared" si="23"/>
        <v>0</v>
      </c>
      <c r="AE36" s="114">
        <f t="shared" si="23"/>
        <v>0</v>
      </c>
      <c r="AF36" s="114">
        <f t="shared" si="23"/>
        <v>0</v>
      </c>
      <c r="AG36" s="114">
        <f t="shared" si="23"/>
        <v>0</v>
      </c>
      <c r="AH36" s="115">
        <f t="shared" si="14"/>
        <v>0</v>
      </c>
      <c r="AI36" s="146"/>
      <c r="AJ36" s="146"/>
      <c r="AK36" s="62"/>
    </row>
    <row r="37" spans="2:37" ht="15" thickBot="1" x14ac:dyDescent="0.35">
      <c r="B37" s="15"/>
      <c r="C37" s="111">
        <f>C19</f>
        <v>9</v>
      </c>
      <c r="D37" s="117">
        <f>W19</f>
        <v>0</v>
      </c>
      <c r="E37" s="117">
        <f t="shared" si="20"/>
        <v>0</v>
      </c>
      <c r="F37" s="117">
        <f t="shared" si="20"/>
        <v>0</v>
      </c>
      <c r="G37" s="112">
        <f t="shared" si="15"/>
        <v>0</v>
      </c>
      <c r="H37" s="118"/>
      <c r="I37" s="114">
        <f>IF($H19&gt;=25,$G37,IF(I$28&lt;=$H19,$G37,IF(I$28&lt;=($H19*($AD19+1)),$G37,0)))-IF(I$28-1&lt;=($H19*$AD19),$F37,0)*IF(OR($AE19=0,$AE19&gt;25),0,IF(MOD(I$28,$H19)=0,1,0))</f>
        <v>0</v>
      </c>
      <c r="J37" s="114">
        <f t="shared" ref="J37:AG37" si="24">IF($H19&gt;=25,$G37,IF(J$28&lt;=$H19,$G37,IF(J$28&lt;=($H19*($AD19+1)),$G37,0)))-IF(J$28-1&lt;=($H19*$AD19),$F37,0)*IF(OR($AE19=0,$AE19&gt;25),0,IF(MOD(J$28-1,$H19)=0,1,0))</f>
        <v>0</v>
      </c>
      <c r="K37" s="114">
        <f t="shared" si="24"/>
        <v>0</v>
      </c>
      <c r="L37" s="114">
        <f t="shared" si="24"/>
        <v>0</v>
      </c>
      <c r="M37" s="114">
        <f t="shared" si="24"/>
        <v>0</v>
      </c>
      <c r="N37" s="114">
        <f t="shared" si="24"/>
        <v>0</v>
      </c>
      <c r="O37" s="114">
        <f t="shared" si="24"/>
        <v>0</v>
      </c>
      <c r="P37" s="114">
        <f t="shared" si="24"/>
        <v>0</v>
      </c>
      <c r="Q37" s="114">
        <f t="shared" si="24"/>
        <v>0</v>
      </c>
      <c r="R37" s="114">
        <f t="shared" si="24"/>
        <v>0</v>
      </c>
      <c r="S37" s="114">
        <f t="shared" si="24"/>
        <v>0</v>
      </c>
      <c r="T37" s="114">
        <f t="shared" si="24"/>
        <v>0</v>
      </c>
      <c r="U37" s="114">
        <f t="shared" si="24"/>
        <v>0</v>
      </c>
      <c r="V37" s="114">
        <f t="shared" si="24"/>
        <v>0</v>
      </c>
      <c r="W37" s="114">
        <f t="shared" si="24"/>
        <v>0</v>
      </c>
      <c r="X37" s="114">
        <f t="shared" si="24"/>
        <v>0</v>
      </c>
      <c r="Y37" s="114">
        <f t="shared" si="24"/>
        <v>0</v>
      </c>
      <c r="Z37" s="114">
        <f t="shared" si="24"/>
        <v>0</v>
      </c>
      <c r="AA37" s="114">
        <f t="shared" si="24"/>
        <v>0</v>
      </c>
      <c r="AB37" s="114">
        <f t="shared" si="24"/>
        <v>0</v>
      </c>
      <c r="AC37" s="114">
        <f t="shared" si="24"/>
        <v>0</v>
      </c>
      <c r="AD37" s="114">
        <f t="shared" si="24"/>
        <v>0</v>
      </c>
      <c r="AE37" s="114">
        <f t="shared" si="24"/>
        <v>0</v>
      </c>
      <c r="AF37" s="114">
        <f t="shared" si="24"/>
        <v>0</v>
      </c>
      <c r="AG37" s="114">
        <f t="shared" si="24"/>
        <v>0</v>
      </c>
      <c r="AH37" s="115">
        <f t="shared" si="14"/>
        <v>0</v>
      </c>
      <c r="AI37" s="146"/>
      <c r="AJ37" s="146"/>
      <c r="AK37" s="62"/>
    </row>
    <row r="38" spans="2:37" ht="15" thickBot="1" x14ac:dyDescent="0.35">
      <c r="B38" s="15"/>
      <c r="C38" s="111">
        <f>C20</f>
        <v>10</v>
      </c>
      <c r="D38" s="117">
        <f>W20</f>
        <v>0</v>
      </c>
      <c r="E38" s="117">
        <f t="shared" si="20"/>
        <v>0</v>
      </c>
      <c r="F38" s="117">
        <f t="shared" si="20"/>
        <v>0</v>
      </c>
      <c r="G38" s="112">
        <f t="shared" si="15"/>
        <v>0</v>
      </c>
      <c r="H38" s="118"/>
      <c r="I38" s="114">
        <f>IF($H20&gt;=25,$G38,IF(I$28&lt;=$H20,$G38,IF(I$28&lt;=($H20*($AD20+1)),$G38,0)))-IF(I$28-1&lt;=($H20*$AD20),$F38,0)*IF(OR($AE20=0,$AE20&gt;25),0,IF(MOD(I$28,$H20)=0,1,0))</f>
        <v>0</v>
      </c>
      <c r="J38" s="114">
        <f t="shared" ref="J38:AG38" si="25">IF($H20&gt;=25,$G38,IF(J$28&lt;=$H20,$G38,IF(J$28&lt;=($H20*($AD20+1)),$G38,0)))-IF(J$28-1&lt;=($H20*$AD20),$F38,0)*IF(OR($AE20=0,$AE20&gt;25),0,IF(MOD(J$28-1,$H20)=0,1,0))</f>
        <v>0</v>
      </c>
      <c r="K38" s="114">
        <f t="shared" si="25"/>
        <v>0</v>
      </c>
      <c r="L38" s="114">
        <f t="shared" si="25"/>
        <v>0</v>
      </c>
      <c r="M38" s="114">
        <f t="shared" si="25"/>
        <v>0</v>
      </c>
      <c r="N38" s="114">
        <f t="shared" si="25"/>
        <v>0</v>
      </c>
      <c r="O38" s="114">
        <f t="shared" si="25"/>
        <v>0</v>
      </c>
      <c r="P38" s="114">
        <f t="shared" si="25"/>
        <v>0</v>
      </c>
      <c r="Q38" s="114">
        <f t="shared" si="25"/>
        <v>0</v>
      </c>
      <c r="R38" s="114">
        <f t="shared" si="25"/>
        <v>0</v>
      </c>
      <c r="S38" s="114">
        <f t="shared" si="25"/>
        <v>0</v>
      </c>
      <c r="T38" s="114">
        <f t="shared" si="25"/>
        <v>0</v>
      </c>
      <c r="U38" s="114">
        <f t="shared" si="25"/>
        <v>0</v>
      </c>
      <c r="V38" s="114">
        <f t="shared" si="25"/>
        <v>0</v>
      </c>
      <c r="W38" s="114">
        <f t="shared" si="25"/>
        <v>0</v>
      </c>
      <c r="X38" s="114">
        <f t="shared" si="25"/>
        <v>0</v>
      </c>
      <c r="Y38" s="114">
        <f t="shared" si="25"/>
        <v>0</v>
      </c>
      <c r="Z38" s="114">
        <f t="shared" si="25"/>
        <v>0</v>
      </c>
      <c r="AA38" s="114">
        <f t="shared" si="25"/>
        <v>0</v>
      </c>
      <c r="AB38" s="114">
        <f t="shared" si="25"/>
        <v>0</v>
      </c>
      <c r="AC38" s="114">
        <f t="shared" si="25"/>
        <v>0</v>
      </c>
      <c r="AD38" s="114">
        <f t="shared" si="25"/>
        <v>0</v>
      </c>
      <c r="AE38" s="114">
        <f t="shared" si="25"/>
        <v>0</v>
      </c>
      <c r="AF38" s="114">
        <f t="shared" si="25"/>
        <v>0</v>
      </c>
      <c r="AG38" s="114">
        <f t="shared" si="25"/>
        <v>0</v>
      </c>
      <c r="AH38" s="115">
        <f t="shared" si="14"/>
        <v>0</v>
      </c>
      <c r="AI38" s="146"/>
      <c r="AJ38" s="146"/>
      <c r="AK38" s="62"/>
    </row>
    <row r="39" spans="2:37" ht="15" thickBot="1" x14ac:dyDescent="0.35">
      <c r="B39" s="15"/>
      <c r="C39" s="111"/>
      <c r="D39" s="119"/>
      <c r="E39" s="119"/>
      <c r="F39" s="119"/>
      <c r="G39" s="116"/>
      <c r="H39" s="120" t="s">
        <v>54</v>
      </c>
      <c r="I39" s="121">
        <f>SUM(I29:I38)</f>
        <v>0</v>
      </c>
      <c r="J39" s="121">
        <f t="shared" ref="J39:AH39" si="26">SUM(J29:J38)</f>
        <v>0</v>
      </c>
      <c r="K39" s="121">
        <f t="shared" si="26"/>
        <v>0</v>
      </c>
      <c r="L39" s="121">
        <f t="shared" si="26"/>
        <v>0</v>
      </c>
      <c r="M39" s="121">
        <f t="shared" si="26"/>
        <v>0</v>
      </c>
      <c r="N39" s="121">
        <f t="shared" si="26"/>
        <v>0</v>
      </c>
      <c r="O39" s="121">
        <f t="shared" si="26"/>
        <v>0</v>
      </c>
      <c r="P39" s="121">
        <f t="shared" si="26"/>
        <v>0</v>
      </c>
      <c r="Q39" s="121">
        <f t="shared" si="26"/>
        <v>0</v>
      </c>
      <c r="R39" s="121">
        <f t="shared" si="26"/>
        <v>0</v>
      </c>
      <c r="S39" s="121">
        <f t="shared" si="26"/>
        <v>0</v>
      </c>
      <c r="T39" s="121">
        <f t="shared" si="26"/>
        <v>0</v>
      </c>
      <c r="U39" s="121">
        <f t="shared" si="26"/>
        <v>0</v>
      </c>
      <c r="V39" s="121">
        <f t="shared" si="26"/>
        <v>0</v>
      </c>
      <c r="W39" s="121">
        <f t="shared" si="26"/>
        <v>0</v>
      </c>
      <c r="X39" s="121">
        <f t="shared" si="26"/>
        <v>0</v>
      </c>
      <c r="Y39" s="121">
        <f t="shared" si="26"/>
        <v>0</v>
      </c>
      <c r="Z39" s="121">
        <f t="shared" si="26"/>
        <v>0</v>
      </c>
      <c r="AA39" s="121">
        <f t="shared" si="26"/>
        <v>0</v>
      </c>
      <c r="AB39" s="121">
        <f t="shared" si="26"/>
        <v>0</v>
      </c>
      <c r="AC39" s="121">
        <f t="shared" si="26"/>
        <v>0</v>
      </c>
      <c r="AD39" s="121">
        <f t="shared" si="26"/>
        <v>0</v>
      </c>
      <c r="AE39" s="121">
        <f t="shared" si="26"/>
        <v>0</v>
      </c>
      <c r="AF39" s="121">
        <f t="shared" si="26"/>
        <v>0</v>
      </c>
      <c r="AG39" s="121">
        <f t="shared" si="26"/>
        <v>0</v>
      </c>
      <c r="AH39" s="122">
        <f t="shared" si="26"/>
        <v>0</v>
      </c>
      <c r="AI39" s="146"/>
      <c r="AJ39" s="146"/>
      <c r="AK39" s="62"/>
    </row>
    <row r="40" spans="2:37" ht="15" thickBot="1" x14ac:dyDescent="0.35">
      <c r="B40" s="15"/>
      <c r="C40" s="111"/>
      <c r="D40" s="123"/>
      <c r="E40" s="123"/>
      <c r="F40" s="123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24"/>
      <c r="AI40" s="146"/>
      <c r="AJ40" s="146"/>
      <c r="AK40" s="62"/>
    </row>
    <row r="41" spans="2:37" ht="28.5" customHeight="1" thickBot="1" x14ac:dyDescent="0.35">
      <c r="B41" s="15"/>
      <c r="C41" s="107" t="s">
        <v>52</v>
      </c>
      <c r="D41" s="125" t="s">
        <v>191</v>
      </c>
      <c r="E41" s="126"/>
      <c r="F41" s="126"/>
      <c r="G41" s="971" t="s">
        <v>192</v>
      </c>
      <c r="H41" s="971"/>
      <c r="I41" s="109">
        <v>1</v>
      </c>
      <c r="J41" s="109">
        <v>2</v>
      </c>
      <c r="K41" s="109">
        <v>3</v>
      </c>
      <c r="L41" s="109">
        <v>4</v>
      </c>
      <c r="M41" s="109">
        <v>5</v>
      </c>
      <c r="N41" s="109">
        <v>6</v>
      </c>
      <c r="O41" s="109">
        <v>7</v>
      </c>
      <c r="P41" s="109">
        <v>8</v>
      </c>
      <c r="Q41" s="109">
        <v>9</v>
      </c>
      <c r="R41" s="109">
        <v>10</v>
      </c>
      <c r="S41" s="109">
        <v>11</v>
      </c>
      <c r="T41" s="109">
        <v>12</v>
      </c>
      <c r="U41" s="109">
        <v>13</v>
      </c>
      <c r="V41" s="109">
        <v>14</v>
      </c>
      <c r="W41" s="109">
        <v>15</v>
      </c>
      <c r="X41" s="109">
        <v>16</v>
      </c>
      <c r="Y41" s="109">
        <v>17</v>
      </c>
      <c r="Z41" s="109">
        <v>18</v>
      </c>
      <c r="AA41" s="109">
        <v>19</v>
      </c>
      <c r="AB41" s="109">
        <v>20</v>
      </c>
      <c r="AC41" s="109">
        <v>21</v>
      </c>
      <c r="AD41" s="109">
        <v>22</v>
      </c>
      <c r="AE41" s="109">
        <v>23</v>
      </c>
      <c r="AF41" s="109">
        <v>24</v>
      </c>
      <c r="AG41" s="109">
        <v>25</v>
      </c>
      <c r="AH41" s="110" t="s">
        <v>53</v>
      </c>
      <c r="AI41" s="146"/>
      <c r="AJ41" s="146"/>
      <c r="AK41" s="62"/>
    </row>
    <row r="42" spans="2:37" ht="15" thickBot="1" x14ac:dyDescent="0.35">
      <c r="B42" s="15"/>
      <c r="C42" s="127">
        <f t="shared" ref="C42:C51" si="27">C29</f>
        <v>1</v>
      </c>
      <c r="D42" s="422">
        <f>V10</f>
        <v>0</v>
      </c>
      <c r="E42" s="423"/>
      <c r="F42" s="423"/>
      <c r="G42" s="422">
        <f>IF(D42="","",D42-E42-F42)</f>
        <v>0</v>
      </c>
      <c r="H42" s="116"/>
      <c r="I42" s="417">
        <f t="shared" ref="I42:AG42" si="28">IF($H10&gt;=25,$G42,IF(I$41&lt;=$H10,$G42,IF(I$41&lt;=($H10*($AD10+1)),$G42,0)))</f>
        <v>0</v>
      </c>
      <c r="J42" s="417">
        <f t="shared" si="28"/>
        <v>0</v>
      </c>
      <c r="K42" s="417">
        <f t="shared" si="28"/>
        <v>0</v>
      </c>
      <c r="L42" s="417">
        <f t="shared" si="28"/>
        <v>0</v>
      </c>
      <c r="M42" s="417">
        <f t="shared" si="28"/>
        <v>0</v>
      </c>
      <c r="N42" s="417">
        <f t="shared" si="28"/>
        <v>0</v>
      </c>
      <c r="O42" s="417">
        <f t="shared" si="28"/>
        <v>0</v>
      </c>
      <c r="P42" s="417">
        <f t="shared" si="28"/>
        <v>0</v>
      </c>
      <c r="Q42" s="417">
        <f t="shared" si="28"/>
        <v>0</v>
      </c>
      <c r="R42" s="417">
        <f t="shared" si="28"/>
        <v>0</v>
      </c>
      <c r="S42" s="417">
        <f t="shared" si="28"/>
        <v>0</v>
      </c>
      <c r="T42" s="417">
        <f t="shared" si="28"/>
        <v>0</v>
      </c>
      <c r="U42" s="417">
        <f t="shared" si="28"/>
        <v>0</v>
      </c>
      <c r="V42" s="417">
        <f t="shared" si="28"/>
        <v>0</v>
      </c>
      <c r="W42" s="417">
        <f t="shared" si="28"/>
        <v>0</v>
      </c>
      <c r="X42" s="417">
        <f t="shared" si="28"/>
        <v>0</v>
      </c>
      <c r="Y42" s="417">
        <f t="shared" si="28"/>
        <v>0</v>
      </c>
      <c r="Z42" s="417">
        <f t="shared" si="28"/>
        <v>0</v>
      </c>
      <c r="AA42" s="417">
        <f t="shared" si="28"/>
        <v>0</v>
      </c>
      <c r="AB42" s="417">
        <f t="shared" si="28"/>
        <v>0</v>
      </c>
      <c r="AC42" s="417">
        <f t="shared" si="28"/>
        <v>0</v>
      </c>
      <c r="AD42" s="417">
        <f t="shared" si="28"/>
        <v>0</v>
      </c>
      <c r="AE42" s="417">
        <f t="shared" si="28"/>
        <v>0</v>
      </c>
      <c r="AF42" s="417">
        <f t="shared" si="28"/>
        <v>0</v>
      </c>
      <c r="AG42" s="417">
        <f t="shared" si="28"/>
        <v>0</v>
      </c>
      <c r="AH42" s="418">
        <f t="shared" ref="AH42:AH50" si="29">SUM(I42:AG42)</f>
        <v>0</v>
      </c>
      <c r="AI42" s="146"/>
      <c r="AJ42" s="146"/>
      <c r="AK42" s="62"/>
    </row>
    <row r="43" spans="2:37" ht="15" thickBot="1" x14ac:dyDescent="0.35">
      <c r="B43" s="15"/>
      <c r="C43" s="127">
        <f t="shared" si="27"/>
        <v>2</v>
      </c>
      <c r="D43" s="422">
        <f>V11</f>
        <v>0</v>
      </c>
      <c r="E43" s="423"/>
      <c r="F43" s="423"/>
      <c r="G43" s="422">
        <f t="shared" ref="G43:G51" si="30">IF(D43="","",D43-E43-F43)</f>
        <v>0</v>
      </c>
      <c r="H43" s="116"/>
      <c r="I43" s="417">
        <f t="shared" ref="I43:AG43" si="31">IF($H11&gt;=25,$G43,IF(I$41&lt;=$H11,$G43,IF(I$41&lt;=($H11*($AD11+1)),$G43,0)))</f>
        <v>0</v>
      </c>
      <c r="J43" s="417">
        <f t="shared" si="31"/>
        <v>0</v>
      </c>
      <c r="K43" s="417">
        <f t="shared" si="31"/>
        <v>0</v>
      </c>
      <c r="L43" s="417">
        <f t="shared" si="31"/>
        <v>0</v>
      </c>
      <c r="M43" s="417">
        <f t="shared" si="31"/>
        <v>0</v>
      </c>
      <c r="N43" s="417">
        <f t="shared" si="31"/>
        <v>0</v>
      </c>
      <c r="O43" s="417">
        <f t="shared" si="31"/>
        <v>0</v>
      </c>
      <c r="P43" s="417">
        <f t="shared" si="31"/>
        <v>0</v>
      </c>
      <c r="Q43" s="417">
        <f t="shared" si="31"/>
        <v>0</v>
      </c>
      <c r="R43" s="417">
        <f t="shared" si="31"/>
        <v>0</v>
      </c>
      <c r="S43" s="417">
        <f t="shared" si="31"/>
        <v>0</v>
      </c>
      <c r="T43" s="417">
        <f t="shared" si="31"/>
        <v>0</v>
      </c>
      <c r="U43" s="417">
        <f t="shared" si="31"/>
        <v>0</v>
      </c>
      <c r="V43" s="417">
        <f t="shared" si="31"/>
        <v>0</v>
      </c>
      <c r="W43" s="417">
        <f t="shared" si="31"/>
        <v>0</v>
      </c>
      <c r="X43" s="417">
        <f t="shared" si="31"/>
        <v>0</v>
      </c>
      <c r="Y43" s="417">
        <f t="shared" si="31"/>
        <v>0</v>
      </c>
      <c r="Z43" s="417">
        <f t="shared" si="31"/>
        <v>0</v>
      </c>
      <c r="AA43" s="417">
        <f t="shared" si="31"/>
        <v>0</v>
      </c>
      <c r="AB43" s="417">
        <f t="shared" si="31"/>
        <v>0</v>
      </c>
      <c r="AC43" s="417">
        <f t="shared" si="31"/>
        <v>0</v>
      </c>
      <c r="AD43" s="417">
        <f t="shared" si="31"/>
        <v>0</v>
      </c>
      <c r="AE43" s="417">
        <f t="shared" si="31"/>
        <v>0</v>
      </c>
      <c r="AF43" s="417">
        <f t="shared" si="31"/>
        <v>0</v>
      </c>
      <c r="AG43" s="417">
        <f t="shared" si="31"/>
        <v>0</v>
      </c>
      <c r="AH43" s="418">
        <f t="shared" si="29"/>
        <v>0</v>
      </c>
      <c r="AI43" s="146"/>
      <c r="AJ43" s="146"/>
      <c r="AK43" s="62"/>
    </row>
    <row r="44" spans="2:37" ht="15" thickBot="1" x14ac:dyDescent="0.35">
      <c r="B44" s="15"/>
      <c r="C44" s="127">
        <f t="shared" si="27"/>
        <v>3</v>
      </c>
      <c r="D44" s="422">
        <f>V12</f>
        <v>0</v>
      </c>
      <c r="E44" s="423"/>
      <c r="F44" s="423"/>
      <c r="G44" s="422">
        <f t="shared" si="30"/>
        <v>0</v>
      </c>
      <c r="H44" s="116"/>
      <c r="I44" s="417">
        <f t="shared" ref="I44:AG44" si="32">IF($H12&gt;=25,$G44,IF(I$41&lt;=$H12,$G44,IF(I$41&lt;=($H12*($AD12+1)),$G44,0)))</f>
        <v>0</v>
      </c>
      <c r="J44" s="417">
        <f t="shared" si="32"/>
        <v>0</v>
      </c>
      <c r="K44" s="417">
        <f t="shared" si="32"/>
        <v>0</v>
      </c>
      <c r="L44" s="417">
        <f t="shared" si="32"/>
        <v>0</v>
      </c>
      <c r="M44" s="417">
        <f t="shared" si="32"/>
        <v>0</v>
      </c>
      <c r="N44" s="417">
        <f t="shared" si="32"/>
        <v>0</v>
      </c>
      <c r="O44" s="417">
        <f t="shared" si="32"/>
        <v>0</v>
      </c>
      <c r="P44" s="417">
        <f t="shared" si="32"/>
        <v>0</v>
      </c>
      <c r="Q44" s="417">
        <f t="shared" si="32"/>
        <v>0</v>
      </c>
      <c r="R44" s="417">
        <f t="shared" si="32"/>
        <v>0</v>
      </c>
      <c r="S44" s="417">
        <f t="shared" si="32"/>
        <v>0</v>
      </c>
      <c r="T44" s="417">
        <f t="shared" si="32"/>
        <v>0</v>
      </c>
      <c r="U44" s="417">
        <f t="shared" si="32"/>
        <v>0</v>
      </c>
      <c r="V44" s="417">
        <f t="shared" si="32"/>
        <v>0</v>
      </c>
      <c r="W44" s="417">
        <f t="shared" si="32"/>
        <v>0</v>
      </c>
      <c r="X44" s="417">
        <f t="shared" si="32"/>
        <v>0</v>
      </c>
      <c r="Y44" s="417">
        <f t="shared" si="32"/>
        <v>0</v>
      </c>
      <c r="Z44" s="417">
        <f t="shared" si="32"/>
        <v>0</v>
      </c>
      <c r="AA44" s="417">
        <f t="shared" si="32"/>
        <v>0</v>
      </c>
      <c r="AB44" s="417">
        <f t="shared" si="32"/>
        <v>0</v>
      </c>
      <c r="AC44" s="417">
        <f t="shared" si="32"/>
        <v>0</v>
      </c>
      <c r="AD44" s="417">
        <f t="shared" si="32"/>
        <v>0</v>
      </c>
      <c r="AE44" s="417">
        <f t="shared" si="32"/>
        <v>0</v>
      </c>
      <c r="AF44" s="417">
        <f t="shared" si="32"/>
        <v>0</v>
      </c>
      <c r="AG44" s="417">
        <f t="shared" si="32"/>
        <v>0</v>
      </c>
      <c r="AH44" s="418">
        <f t="shared" si="29"/>
        <v>0</v>
      </c>
      <c r="AI44" s="146"/>
      <c r="AJ44" s="146"/>
      <c r="AK44" s="62"/>
    </row>
    <row r="45" spans="2:37" ht="15" thickBot="1" x14ac:dyDescent="0.35">
      <c r="B45" s="15"/>
      <c r="C45" s="127">
        <f t="shared" si="27"/>
        <v>4</v>
      </c>
      <c r="D45" s="422">
        <f>V13</f>
        <v>0</v>
      </c>
      <c r="E45" s="423"/>
      <c r="F45" s="423"/>
      <c r="G45" s="422">
        <f t="shared" si="30"/>
        <v>0</v>
      </c>
      <c r="H45" s="116"/>
      <c r="I45" s="417">
        <f t="shared" ref="I45:AG45" si="33">IF($H13&gt;=25,$G45,IF(I$41&lt;=$H13,$G45,IF(I$41&lt;=($H13*($AD13+1)),$G45,0)))</f>
        <v>0</v>
      </c>
      <c r="J45" s="417">
        <f t="shared" si="33"/>
        <v>0</v>
      </c>
      <c r="K45" s="417">
        <f t="shared" si="33"/>
        <v>0</v>
      </c>
      <c r="L45" s="417">
        <f t="shared" si="33"/>
        <v>0</v>
      </c>
      <c r="M45" s="417">
        <f t="shared" si="33"/>
        <v>0</v>
      </c>
      <c r="N45" s="417">
        <f t="shared" si="33"/>
        <v>0</v>
      </c>
      <c r="O45" s="417">
        <f t="shared" si="33"/>
        <v>0</v>
      </c>
      <c r="P45" s="417">
        <f t="shared" si="33"/>
        <v>0</v>
      </c>
      <c r="Q45" s="417">
        <f t="shared" si="33"/>
        <v>0</v>
      </c>
      <c r="R45" s="417">
        <f t="shared" si="33"/>
        <v>0</v>
      </c>
      <c r="S45" s="417">
        <f t="shared" si="33"/>
        <v>0</v>
      </c>
      <c r="T45" s="417">
        <f t="shared" si="33"/>
        <v>0</v>
      </c>
      <c r="U45" s="417">
        <f t="shared" si="33"/>
        <v>0</v>
      </c>
      <c r="V45" s="417">
        <f t="shared" si="33"/>
        <v>0</v>
      </c>
      <c r="W45" s="417">
        <f t="shared" si="33"/>
        <v>0</v>
      </c>
      <c r="X45" s="417">
        <f t="shared" si="33"/>
        <v>0</v>
      </c>
      <c r="Y45" s="417">
        <f t="shared" si="33"/>
        <v>0</v>
      </c>
      <c r="Z45" s="417">
        <f t="shared" si="33"/>
        <v>0</v>
      </c>
      <c r="AA45" s="417">
        <f t="shared" si="33"/>
        <v>0</v>
      </c>
      <c r="AB45" s="417">
        <f t="shared" si="33"/>
        <v>0</v>
      </c>
      <c r="AC45" s="417">
        <f t="shared" si="33"/>
        <v>0</v>
      </c>
      <c r="AD45" s="417">
        <f t="shared" si="33"/>
        <v>0</v>
      </c>
      <c r="AE45" s="417">
        <f t="shared" si="33"/>
        <v>0</v>
      </c>
      <c r="AF45" s="417">
        <f t="shared" si="33"/>
        <v>0</v>
      </c>
      <c r="AG45" s="417">
        <f t="shared" si="33"/>
        <v>0</v>
      </c>
      <c r="AH45" s="418">
        <f t="shared" si="29"/>
        <v>0</v>
      </c>
      <c r="AI45" s="146"/>
      <c r="AJ45" s="146"/>
      <c r="AK45" s="62"/>
    </row>
    <row r="46" spans="2:37" ht="15" thickBot="1" x14ac:dyDescent="0.35">
      <c r="B46" s="15"/>
      <c r="C46" s="129">
        <f t="shared" si="27"/>
        <v>5</v>
      </c>
      <c r="D46" s="422">
        <f>V14</f>
        <v>0</v>
      </c>
      <c r="E46" s="423"/>
      <c r="F46" s="423"/>
      <c r="G46" s="422">
        <f t="shared" si="30"/>
        <v>0</v>
      </c>
      <c r="H46" s="116"/>
      <c r="I46" s="417">
        <f t="shared" ref="I46:AG46" si="34">IF($H14&gt;=25,$G46,IF(I$41&lt;=$H14,$G46,IF(I$41&lt;=($H14*($AD14+1)),$G46,0)))</f>
        <v>0</v>
      </c>
      <c r="J46" s="417">
        <f t="shared" si="34"/>
        <v>0</v>
      </c>
      <c r="K46" s="417">
        <f t="shared" si="34"/>
        <v>0</v>
      </c>
      <c r="L46" s="417">
        <f t="shared" si="34"/>
        <v>0</v>
      </c>
      <c r="M46" s="417">
        <f t="shared" si="34"/>
        <v>0</v>
      </c>
      <c r="N46" s="417">
        <f t="shared" si="34"/>
        <v>0</v>
      </c>
      <c r="O46" s="417">
        <f t="shared" si="34"/>
        <v>0</v>
      </c>
      <c r="P46" s="417">
        <f t="shared" si="34"/>
        <v>0</v>
      </c>
      <c r="Q46" s="417">
        <f t="shared" si="34"/>
        <v>0</v>
      </c>
      <c r="R46" s="417">
        <f t="shared" si="34"/>
        <v>0</v>
      </c>
      <c r="S46" s="417">
        <f t="shared" si="34"/>
        <v>0</v>
      </c>
      <c r="T46" s="417">
        <f t="shared" si="34"/>
        <v>0</v>
      </c>
      <c r="U46" s="417">
        <f t="shared" si="34"/>
        <v>0</v>
      </c>
      <c r="V46" s="417">
        <f t="shared" si="34"/>
        <v>0</v>
      </c>
      <c r="W46" s="417">
        <f t="shared" si="34"/>
        <v>0</v>
      </c>
      <c r="X46" s="417">
        <f t="shared" si="34"/>
        <v>0</v>
      </c>
      <c r="Y46" s="417">
        <f t="shared" si="34"/>
        <v>0</v>
      </c>
      <c r="Z46" s="417">
        <f t="shared" si="34"/>
        <v>0</v>
      </c>
      <c r="AA46" s="417">
        <f t="shared" si="34"/>
        <v>0</v>
      </c>
      <c r="AB46" s="417">
        <f t="shared" si="34"/>
        <v>0</v>
      </c>
      <c r="AC46" s="417">
        <f t="shared" si="34"/>
        <v>0</v>
      </c>
      <c r="AD46" s="417">
        <f t="shared" si="34"/>
        <v>0</v>
      </c>
      <c r="AE46" s="417">
        <f t="shared" si="34"/>
        <v>0</v>
      </c>
      <c r="AF46" s="417">
        <f t="shared" si="34"/>
        <v>0</v>
      </c>
      <c r="AG46" s="417">
        <f t="shared" si="34"/>
        <v>0</v>
      </c>
      <c r="AH46" s="418">
        <f t="shared" si="29"/>
        <v>0</v>
      </c>
      <c r="AI46" s="146"/>
      <c r="AJ46" s="146"/>
      <c r="AK46" s="62"/>
    </row>
    <row r="47" spans="2:37" ht="15" thickBot="1" x14ac:dyDescent="0.35">
      <c r="B47" s="15"/>
      <c r="C47" s="129">
        <f t="shared" si="27"/>
        <v>6</v>
      </c>
      <c r="D47" s="422">
        <f>V16</f>
        <v>0</v>
      </c>
      <c r="E47" s="425"/>
      <c r="F47" s="425"/>
      <c r="G47" s="422">
        <f t="shared" si="30"/>
        <v>0</v>
      </c>
      <c r="H47" s="118"/>
      <c r="I47" s="417">
        <f t="shared" ref="I47:AG47" si="35">IF($H16&gt;=25,$G47,IF(I$41&lt;=$H16,$G47,IF(I$41&lt;=($H16*($AD16+1)),$G47,0)))</f>
        <v>0</v>
      </c>
      <c r="J47" s="417">
        <f t="shared" si="35"/>
        <v>0</v>
      </c>
      <c r="K47" s="417">
        <f t="shared" si="35"/>
        <v>0</v>
      </c>
      <c r="L47" s="417">
        <f t="shared" si="35"/>
        <v>0</v>
      </c>
      <c r="M47" s="417">
        <f t="shared" si="35"/>
        <v>0</v>
      </c>
      <c r="N47" s="417">
        <f t="shared" si="35"/>
        <v>0</v>
      </c>
      <c r="O47" s="417">
        <f t="shared" si="35"/>
        <v>0</v>
      </c>
      <c r="P47" s="417">
        <f t="shared" si="35"/>
        <v>0</v>
      </c>
      <c r="Q47" s="417">
        <f t="shared" si="35"/>
        <v>0</v>
      </c>
      <c r="R47" s="417">
        <f t="shared" si="35"/>
        <v>0</v>
      </c>
      <c r="S47" s="417">
        <f t="shared" si="35"/>
        <v>0</v>
      </c>
      <c r="T47" s="417">
        <f t="shared" si="35"/>
        <v>0</v>
      </c>
      <c r="U47" s="417">
        <f t="shared" si="35"/>
        <v>0</v>
      </c>
      <c r="V47" s="417">
        <f t="shared" si="35"/>
        <v>0</v>
      </c>
      <c r="W47" s="417">
        <f t="shared" si="35"/>
        <v>0</v>
      </c>
      <c r="X47" s="417">
        <f t="shared" si="35"/>
        <v>0</v>
      </c>
      <c r="Y47" s="417">
        <f t="shared" si="35"/>
        <v>0</v>
      </c>
      <c r="Z47" s="417">
        <f t="shared" si="35"/>
        <v>0</v>
      </c>
      <c r="AA47" s="417">
        <f t="shared" si="35"/>
        <v>0</v>
      </c>
      <c r="AB47" s="417">
        <f t="shared" si="35"/>
        <v>0</v>
      </c>
      <c r="AC47" s="417">
        <f t="shared" si="35"/>
        <v>0</v>
      </c>
      <c r="AD47" s="417">
        <f t="shared" si="35"/>
        <v>0</v>
      </c>
      <c r="AE47" s="417">
        <f t="shared" si="35"/>
        <v>0</v>
      </c>
      <c r="AF47" s="417">
        <f t="shared" si="35"/>
        <v>0</v>
      </c>
      <c r="AG47" s="417">
        <f t="shared" si="35"/>
        <v>0</v>
      </c>
      <c r="AH47" s="418">
        <f t="shared" si="29"/>
        <v>0</v>
      </c>
      <c r="AI47" s="146"/>
      <c r="AJ47" s="146"/>
      <c r="AK47" s="62"/>
    </row>
    <row r="48" spans="2:37" ht="15" thickBot="1" x14ac:dyDescent="0.35">
      <c r="B48" s="15"/>
      <c r="C48" s="129">
        <f t="shared" si="27"/>
        <v>7</v>
      </c>
      <c r="D48" s="422">
        <f>V17</f>
        <v>0</v>
      </c>
      <c r="E48" s="425"/>
      <c r="F48" s="425"/>
      <c r="G48" s="422">
        <f t="shared" si="30"/>
        <v>0</v>
      </c>
      <c r="H48" s="118"/>
      <c r="I48" s="417">
        <f t="shared" ref="I48:AG48" si="36">IF($H17&gt;=25,$G48,IF(I$41&lt;=$H17,$G48,IF(I$41&lt;=($H17*($AD17+1)),$G48,0)))</f>
        <v>0</v>
      </c>
      <c r="J48" s="417">
        <f t="shared" si="36"/>
        <v>0</v>
      </c>
      <c r="K48" s="417">
        <f t="shared" si="36"/>
        <v>0</v>
      </c>
      <c r="L48" s="417">
        <f t="shared" si="36"/>
        <v>0</v>
      </c>
      <c r="M48" s="417">
        <f t="shared" si="36"/>
        <v>0</v>
      </c>
      <c r="N48" s="417">
        <f t="shared" si="36"/>
        <v>0</v>
      </c>
      <c r="O48" s="417">
        <f t="shared" si="36"/>
        <v>0</v>
      </c>
      <c r="P48" s="417">
        <f t="shared" si="36"/>
        <v>0</v>
      </c>
      <c r="Q48" s="417">
        <f t="shared" si="36"/>
        <v>0</v>
      </c>
      <c r="R48" s="417">
        <f t="shared" si="36"/>
        <v>0</v>
      </c>
      <c r="S48" s="417">
        <f t="shared" si="36"/>
        <v>0</v>
      </c>
      <c r="T48" s="417">
        <f t="shared" si="36"/>
        <v>0</v>
      </c>
      <c r="U48" s="417">
        <f t="shared" si="36"/>
        <v>0</v>
      </c>
      <c r="V48" s="417">
        <f t="shared" si="36"/>
        <v>0</v>
      </c>
      <c r="W48" s="417">
        <f t="shared" si="36"/>
        <v>0</v>
      </c>
      <c r="X48" s="417">
        <f t="shared" si="36"/>
        <v>0</v>
      </c>
      <c r="Y48" s="417">
        <f t="shared" si="36"/>
        <v>0</v>
      </c>
      <c r="Z48" s="417">
        <f t="shared" si="36"/>
        <v>0</v>
      </c>
      <c r="AA48" s="417">
        <f t="shared" si="36"/>
        <v>0</v>
      </c>
      <c r="AB48" s="417">
        <f t="shared" si="36"/>
        <v>0</v>
      </c>
      <c r="AC48" s="417">
        <f t="shared" si="36"/>
        <v>0</v>
      </c>
      <c r="AD48" s="417">
        <f t="shared" si="36"/>
        <v>0</v>
      </c>
      <c r="AE48" s="417">
        <f t="shared" si="36"/>
        <v>0</v>
      </c>
      <c r="AF48" s="417">
        <f t="shared" si="36"/>
        <v>0</v>
      </c>
      <c r="AG48" s="417">
        <f t="shared" si="36"/>
        <v>0</v>
      </c>
      <c r="AH48" s="418">
        <f t="shared" si="29"/>
        <v>0</v>
      </c>
      <c r="AI48" s="146"/>
      <c r="AJ48" s="146"/>
      <c r="AK48" s="62"/>
    </row>
    <row r="49" spans="2:39" ht="15" thickBot="1" x14ac:dyDescent="0.35">
      <c r="B49" s="15"/>
      <c r="C49" s="129">
        <f t="shared" si="27"/>
        <v>8</v>
      </c>
      <c r="D49" s="422">
        <f>V18</f>
        <v>0</v>
      </c>
      <c r="E49" s="425"/>
      <c r="F49" s="425"/>
      <c r="G49" s="422">
        <f t="shared" si="30"/>
        <v>0</v>
      </c>
      <c r="H49" s="118"/>
      <c r="I49" s="417">
        <f t="shared" ref="I49:AG49" si="37">IF($H18&gt;=25,$G49,IF(I$41&lt;=$H18,$G49,IF(I$41&lt;=($H18*($AD18+1)),$G49,0)))</f>
        <v>0</v>
      </c>
      <c r="J49" s="417">
        <f t="shared" si="37"/>
        <v>0</v>
      </c>
      <c r="K49" s="417">
        <f t="shared" si="37"/>
        <v>0</v>
      </c>
      <c r="L49" s="417">
        <f t="shared" si="37"/>
        <v>0</v>
      </c>
      <c r="M49" s="417">
        <f t="shared" si="37"/>
        <v>0</v>
      </c>
      <c r="N49" s="417">
        <f t="shared" si="37"/>
        <v>0</v>
      </c>
      <c r="O49" s="417">
        <f t="shared" si="37"/>
        <v>0</v>
      </c>
      <c r="P49" s="417">
        <f t="shared" si="37"/>
        <v>0</v>
      </c>
      <c r="Q49" s="417">
        <f t="shared" si="37"/>
        <v>0</v>
      </c>
      <c r="R49" s="417">
        <f t="shared" si="37"/>
        <v>0</v>
      </c>
      <c r="S49" s="417">
        <f t="shared" si="37"/>
        <v>0</v>
      </c>
      <c r="T49" s="417">
        <f t="shared" si="37"/>
        <v>0</v>
      </c>
      <c r="U49" s="417">
        <f t="shared" si="37"/>
        <v>0</v>
      </c>
      <c r="V49" s="417">
        <f t="shared" si="37"/>
        <v>0</v>
      </c>
      <c r="W49" s="417">
        <f t="shared" si="37"/>
        <v>0</v>
      </c>
      <c r="X49" s="417">
        <f t="shared" si="37"/>
        <v>0</v>
      </c>
      <c r="Y49" s="417">
        <f t="shared" si="37"/>
        <v>0</v>
      </c>
      <c r="Z49" s="417">
        <f t="shared" si="37"/>
        <v>0</v>
      </c>
      <c r="AA49" s="417">
        <f t="shared" si="37"/>
        <v>0</v>
      </c>
      <c r="AB49" s="417">
        <f t="shared" si="37"/>
        <v>0</v>
      </c>
      <c r="AC49" s="417">
        <f t="shared" si="37"/>
        <v>0</v>
      </c>
      <c r="AD49" s="417">
        <f t="shared" si="37"/>
        <v>0</v>
      </c>
      <c r="AE49" s="417">
        <f t="shared" si="37"/>
        <v>0</v>
      </c>
      <c r="AF49" s="417">
        <f t="shared" si="37"/>
        <v>0</v>
      </c>
      <c r="AG49" s="417">
        <f t="shared" si="37"/>
        <v>0</v>
      </c>
      <c r="AH49" s="418">
        <f t="shared" si="29"/>
        <v>0</v>
      </c>
      <c r="AI49" s="146"/>
      <c r="AJ49" s="146"/>
      <c r="AK49" s="62"/>
    </row>
    <row r="50" spans="2:39" ht="15" thickBot="1" x14ac:dyDescent="0.35">
      <c r="B50" s="15"/>
      <c r="C50" s="129">
        <f t="shared" si="27"/>
        <v>9</v>
      </c>
      <c r="D50" s="422">
        <f>V19</f>
        <v>0</v>
      </c>
      <c r="E50" s="425"/>
      <c r="F50" s="425"/>
      <c r="G50" s="422">
        <f t="shared" si="30"/>
        <v>0</v>
      </c>
      <c r="H50" s="118"/>
      <c r="I50" s="417">
        <f t="shared" ref="I50:AG50" si="38">IF($H19&gt;=25,$G50,IF(I$41&lt;=$H19,$G50,IF(I$41&lt;=($H19*($AD19+1)),$G50,0)))</f>
        <v>0</v>
      </c>
      <c r="J50" s="417">
        <f t="shared" si="38"/>
        <v>0</v>
      </c>
      <c r="K50" s="417">
        <f t="shared" si="38"/>
        <v>0</v>
      </c>
      <c r="L50" s="417">
        <f t="shared" si="38"/>
        <v>0</v>
      </c>
      <c r="M50" s="417">
        <f t="shared" si="38"/>
        <v>0</v>
      </c>
      <c r="N50" s="417">
        <f t="shared" si="38"/>
        <v>0</v>
      </c>
      <c r="O50" s="417">
        <f t="shared" si="38"/>
        <v>0</v>
      </c>
      <c r="P50" s="417">
        <f t="shared" si="38"/>
        <v>0</v>
      </c>
      <c r="Q50" s="417">
        <f t="shared" si="38"/>
        <v>0</v>
      </c>
      <c r="R50" s="417">
        <f t="shared" si="38"/>
        <v>0</v>
      </c>
      <c r="S50" s="417">
        <f t="shared" si="38"/>
        <v>0</v>
      </c>
      <c r="T50" s="417">
        <f t="shared" si="38"/>
        <v>0</v>
      </c>
      <c r="U50" s="417">
        <f t="shared" si="38"/>
        <v>0</v>
      </c>
      <c r="V50" s="417">
        <f t="shared" si="38"/>
        <v>0</v>
      </c>
      <c r="W50" s="417">
        <f t="shared" si="38"/>
        <v>0</v>
      </c>
      <c r="X50" s="417">
        <f t="shared" si="38"/>
        <v>0</v>
      </c>
      <c r="Y50" s="417">
        <f t="shared" si="38"/>
        <v>0</v>
      </c>
      <c r="Z50" s="417">
        <f t="shared" si="38"/>
        <v>0</v>
      </c>
      <c r="AA50" s="417">
        <f t="shared" si="38"/>
        <v>0</v>
      </c>
      <c r="AB50" s="417">
        <f t="shared" si="38"/>
        <v>0</v>
      </c>
      <c r="AC50" s="417">
        <f t="shared" si="38"/>
        <v>0</v>
      </c>
      <c r="AD50" s="417">
        <f t="shared" si="38"/>
        <v>0</v>
      </c>
      <c r="AE50" s="417">
        <f t="shared" si="38"/>
        <v>0</v>
      </c>
      <c r="AF50" s="417">
        <f t="shared" si="38"/>
        <v>0</v>
      </c>
      <c r="AG50" s="417">
        <f t="shared" si="38"/>
        <v>0</v>
      </c>
      <c r="AH50" s="418">
        <f t="shared" si="29"/>
        <v>0</v>
      </c>
      <c r="AI50" s="146"/>
      <c r="AJ50" s="146"/>
      <c r="AK50" s="62"/>
    </row>
    <row r="51" spans="2:39" ht="15.75" customHeight="1" thickBot="1" x14ac:dyDescent="0.35">
      <c r="B51" s="15"/>
      <c r="C51" s="129">
        <f t="shared" si="27"/>
        <v>10</v>
      </c>
      <c r="D51" s="422">
        <f>V20</f>
        <v>0</v>
      </c>
      <c r="E51" s="425"/>
      <c r="F51" s="425"/>
      <c r="G51" s="422">
        <f t="shared" si="30"/>
        <v>0</v>
      </c>
      <c r="H51" s="118"/>
      <c r="I51" s="417">
        <f t="shared" ref="I51:AG51" si="39">IF($H20&gt;=25,$G51,IF(I$41&lt;=$H20,$G51,IF(I$41&lt;=($H20*($AD20+1)),$G51,0)))</f>
        <v>0</v>
      </c>
      <c r="J51" s="417">
        <f t="shared" si="39"/>
        <v>0</v>
      </c>
      <c r="K51" s="417">
        <f t="shared" si="39"/>
        <v>0</v>
      </c>
      <c r="L51" s="417">
        <f t="shared" si="39"/>
        <v>0</v>
      </c>
      <c r="M51" s="417">
        <f t="shared" si="39"/>
        <v>0</v>
      </c>
      <c r="N51" s="417">
        <f t="shared" si="39"/>
        <v>0</v>
      </c>
      <c r="O51" s="417">
        <f t="shared" si="39"/>
        <v>0</v>
      </c>
      <c r="P51" s="417">
        <f t="shared" si="39"/>
        <v>0</v>
      </c>
      <c r="Q51" s="417">
        <f t="shared" si="39"/>
        <v>0</v>
      </c>
      <c r="R51" s="417">
        <f t="shared" si="39"/>
        <v>0</v>
      </c>
      <c r="S51" s="417">
        <f t="shared" si="39"/>
        <v>0</v>
      </c>
      <c r="T51" s="417">
        <f t="shared" si="39"/>
        <v>0</v>
      </c>
      <c r="U51" s="417">
        <f t="shared" si="39"/>
        <v>0</v>
      </c>
      <c r="V51" s="417">
        <f t="shared" si="39"/>
        <v>0</v>
      </c>
      <c r="W51" s="417">
        <f t="shared" si="39"/>
        <v>0</v>
      </c>
      <c r="X51" s="417">
        <f t="shared" si="39"/>
        <v>0</v>
      </c>
      <c r="Y51" s="417">
        <f t="shared" si="39"/>
        <v>0</v>
      </c>
      <c r="Z51" s="417">
        <f t="shared" si="39"/>
        <v>0</v>
      </c>
      <c r="AA51" s="417">
        <f t="shared" si="39"/>
        <v>0</v>
      </c>
      <c r="AB51" s="417">
        <f t="shared" si="39"/>
        <v>0</v>
      </c>
      <c r="AC51" s="417">
        <f t="shared" si="39"/>
        <v>0</v>
      </c>
      <c r="AD51" s="417">
        <f t="shared" si="39"/>
        <v>0</v>
      </c>
      <c r="AE51" s="417">
        <f t="shared" si="39"/>
        <v>0</v>
      </c>
      <c r="AF51" s="417">
        <f t="shared" si="39"/>
        <v>0</v>
      </c>
      <c r="AG51" s="417">
        <f t="shared" si="39"/>
        <v>0</v>
      </c>
      <c r="AH51" s="419">
        <f>SUM(O51:AG51)</f>
        <v>0</v>
      </c>
      <c r="AI51" s="146"/>
      <c r="AJ51" s="146"/>
      <c r="AK51" s="62"/>
    </row>
    <row r="52" spans="2:39" ht="15" thickBot="1" x14ac:dyDescent="0.35">
      <c r="B52" s="15"/>
      <c r="C52" s="131"/>
      <c r="D52" s="128"/>
      <c r="E52" s="128"/>
      <c r="F52" s="128"/>
      <c r="G52" s="116"/>
      <c r="H52" s="120" t="s">
        <v>54</v>
      </c>
      <c r="I52" s="420">
        <f t="shared" ref="I52:AG52" si="40">SUM(I42:I51)</f>
        <v>0</v>
      </c>
      <c r="J52" s="420">
        <f t="shared" si="40"/>
        <v>0</v>
      </c>
      <c r="K52" s="420">
        <f t="shared" si="40"/>
        <v>0</v>
      </c>
      <c r="L52" s="420">
        <f t="shared" si="40"/>
        <v>0</v>
      </c>
      <c r="M52" s="420">
        <f t="shared" si="40"/>
        <v>0</v>
      </c>
      <c r="N52" s="420">
        <f t="shared" si="40"/>
        <v>0</v>
      </c>
      <c r="O52" s="420">
        <f t="shared" si="40"/>
        <v>0</v>
      </c>
      <c r="P52" s="420">
        <f t="shared" si="40"/>
        <v>0</v>
      </c>
      <c r="Q52" s="420">
        <f t="shared" si="40"/>
        <v>0</v>
      </c>
      <c r="R52" s="420">
        <f t="shared" si="40"/>
        <v>0</v>
      </c>
      <c r="S52" s="420">
        <f t="shared" si="40"/>
        <v>0</v>
      </c>
      <c r="T52" s="420">
        <f t="shared" si="40"/>
        <v>0</v>
      </c>
      <c r="U52" s="420">
        <f t="shared" si="40"/>
        <v>0</v>
      </c>
      <c r="V52" s="420">
        <f t="shared" si="40"/>
        <v>0</v>
      </c>
      <c r="W52" s="420">
        <f t="shared" si="40"/>
        <v>0</v>
      </c>
      <c r="X52" s="420">
        <f t="shared" si="40"/>
        <v>0</v>
      </c>
      <c r="Y52" s="420">
        <f t="shared" si="40"/>
        <v>0</v>
      </c>
      <c r="Z52" s="420">
        <f t="shared" si="40"/>
        <v>0</v>
      </c>
      <c r="AA52" s="420">
        <f t="shared" si="40"/>
        <v>0</v>
      </c>
      <c r="AB52" s="420">
        <f t="shared" si="40"/>
        <v>0</v>
      </c>
      <c r="AC52" s="420">
        <f t="shared" si="40"/>
        <v>0</v>
      </c>
      <c r="AD52" s="420">
        <f t="shared" si="40"/>
        <v>0</v>
      </c>
      <c r="AE52" s="420">
        <f t="shared" si="40"/>
        <v>0</v>
      </c>
      <c r="AF52" s="420">
        <f t="shared" si="40"/>
        <v>0</v>
      </c>
      <c r="AG52" s="420">
        <f t="shared" si="40"/>
        <v>0</v>
      </c>
      <c r="AH52" s="421">
        <f>SUM(AH42:AH51)</f>
        <v>0</v>
      </c>
      <c r="AI52" s="146"/>
      <c r="AJ52" s="146"/>
      <c r="AK52" s="62"/>
    </row>
    <row r="53" spans="2:39" ht="24.75" customHeight="1" thickBot="1" x14ac:dyDescent="0.35">
      <c r="B53" s="15"/>
      <c r="C53" s="133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7"/>
      <c r="AI53" s="146"/>
      <c r="AJ53" s="146"/>
      <c r="AK53" s="62"/>
    </row>
    <row r="54" spans="2:39" ht="24.75" customHeight="1" x14ac:dyDescent="0.3">
      <c r="B54" s="15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46"/>
      <c r="AJ54" s="146"/>
      <c r="AK54" s="62"/>
      <c r="AL54" s="147"/>
      <c r="AM54" s="143"/>
    </row>
    <row r="55" spans="2:39" x14ac:dyDescent="0.3">
      <c r="B55" s="15"/>
      <c r="C55" s="2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62"/>
      <c r="AL55" s="147"/>
      <c r="AM55" s="143"/>
    </row>
    <row r="56" spans="2:39" x14ac:dyDescent="0.3">
      <c r="B56" s="15"/>
      <c r="C56" s="2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62"/>
      <c r="AL56" s="147"/>
      <c r="AM56" s="143"/>
    </row>
    <row r="57" spans="2:39" ht="15" thickBot="1" x14ac:dyDescent="0.35">
      <c r="B57" s="139"/>
      <c r="C57" s="14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30"/>
      <c r="AL57" s="147"/>
      <c r="AM57" s="143"/>
    </row>
    <row r="58" spans="2:39" x14ac:dyDescent="0.3">
      <c r="AC58" s="3"/>
      <c r="AD58" s="3"/>
      <c r="AM58" s="76"/>
    </row>
    <row r="59" spans="2:39" x14ac:dyDescent="0.3">
      <c r="AC59" s="3"/>
      <c r="AD59" s="3"/>
      <c r="AM59" s="76"/>
    </row>
    <row r="60" spans="2:39" x14ac:dyDescent="0.3">
      <c r="AE60" s="4"/>
      <c r="AM60" s="76"/>
    </row>
    <row r="61" spans="2:39" x14ac:dyDescent="0.3">
      <c r="AE61" s="4"/>
      <c r="AM61" s="76"/>
    </row>
    <row r="62" spans="2:39" x14ac:dyDescent="0.3">
      <c r="AL62" s="76"/>
    </row>
    <row r="63" spans="2:39" x14ac:dyDescent="0.3">
      <c r="AL63" s="76"/>
    </row>
    <row r="64" spans="2:39" x14ac:dyDescent="0.3">
      <c r="AL64" s="76"/>
    </row>
    <row r="65" spans="38:38" x14ac:dyDescent="0.3">
      <c r="AL65" s="76"/>
    </row>
    <row r="66" spans="38:38" x14ac:dyDescent="0.3">
      <c r="AL66" s="76"/>
    </row>
    <row r="67" spans="38:38" x14ac:dyDescent="0.3">
      <c r="AL67" s="76"/>
    </row>
    <row r="68" spans="38:38" x14ac:dyDescent="0.3">
      <c r="AL68" s="76"/>
    </row>
    <row r="69" spans="38:38" x14ac:dyDescent="0.3">
      <c r="AL69" s="76"/>
    </row>
    <row r="70" spans="38:38" x14ac:dyDescent="0.3">
      <c r="AL70" s="76"/>
    </row>
    <row r="71" spans="38:38" x14ac:dyDescent="0.3">
      <c r="AL71" s="76"/>
    </row>
    <row r="72" spans="38:38" x14ac:dyDescent="0.3">
      <c r="AL72" s="76"/>
    </row>
    <row r="73" spans="38:38" x14ac:dyDescent="0.3">
      <c r="AL73" s="76"/>
    </row>
    <row r="74" spans="38:38" x14ac:dyDescent="0.3">
      <c r="AL74" s="76"/>
    </row>
    <row r="75" spans="38:38" x14ac:dyDescent="0.3">
      <c r="AL75" s="76"/>
    </row>
    <row r="76" spans="38:38" x14ac:dyDescent="0.3">
      <c r="AL76" s="76"/>
    </row>
    <row r="77" spans="38:38" x14ac:dyDescent="0.3">
      <c r="AL77" s="76"/>
    </row>
    <row r="78" spans="38:38" x14ac:dyDescent="0.3">
      <c r="AL78" s="76"/>
    </row>
    <row r="79" spans="38:38" x14ac:dyDescent="0.3">
      <c r="AL79" s="76"/>
    </row>
    <row r="80" spans="38:38" x14ac:dyDescent="0.3">
      <c r="AL80" s="76"/>
    </row>
    <row r="81" spans="38:38" x14ac:dyDescent="0.3">
      <c r="AL81" s="76"/>
    </row>
    <row r="82" spans="38:38" x14ac:dyDescent="0.3">
      <c r="AL82" s="76"/>
    </row>
    <row r="83" spans="38:38" x14ac:dyDescent="0.3">
      <c r="AL83" s="76"/>
    </row>
    <row r="84" spans="38:38" x14ac:dyDescent="0.3">
      <c r="AL84" s="76"/>
    </row>
    <row r="85" spans="38:38" x14ac:dyDescent="0.3">
      <c r="AL85" s="76"/>
    </row>
    <row r="86" spans="38:38" x14ac:dyDescent="0.3">
      <c r="AL86" s="76"/>
    </row>
    <row r="87" spans="38:38" x14ac:dyDescent="0.3">
      <c r="AL87" s="76"/>
    </row>
    <row r="88" spans="38:38" x14ac:dyDescent="0.3">
      <c r="AL88" s="76"/>
    </row>
    <row r="89" spans="38:38" x14ac:dyDescent="0.3">
      <c r="AL89" s="76"/>
    </row>
    <row r="90" spans="38:38" x14ac:dyDescent="0.3">
      <c r="AL90" s="76"/>
    </row>
    <row r="91" spans="38:38" x14ac:dyDescent="0.3">
      <c r="AL91" s="76"/>
    </row>
    <row r="93" spans="38:38" x14ac:dyDescent="0.3">
      <c r="AL93" s="76"/>
    </row>
    <row r="95" spans="38:38" x14ac:dyDescent="0.3">
      <c r="AL95" s="76"/>
    </row>
    <row r="97" spans="38:38" x14ac:dyDescent="0.3">
      <c r="AL97" s="76"/>
    </row>
    <row r="99" spans="38:38" x14ac:dyDescent="0.3">
      <c r="AL99" s="76"/>
    </row>
    <row r="101" spans="38:38" x14ac:dyDescent="0.3">
      <c r="AL101" s="76"/>
    </row>
    <row r="103" spans="38:38" x14ac:dyDescent="0.3">
      <c r="AL103" s="76"/>
    </row>
    <row r="105" spans="38:38" x14ac:dyDescent="0.3">
      <c r="AL105" s="76"/>
    </row>
    <row r="106" spans="38:38" x14ac:dyDescent="0.3">
      <c r="AL106" s="3">
        <v>76</v>
      </c>
    </row>
    <row r="107" spans="38:38" x14ac:dyDescent="0.3">
      <c r="AL107" s="76">
        <v>77</v>
      </c>
    </row>
    <row r="108" spans="38:38" x14ac:dyDescent="0.3">
      <c r="AL108" s="3">
        <v>78</v>
      </c>
    </row>
  </sheetData>
  <sheetProtection algorithmName="SHA-512" hashValue="dJZLaEOwuca9Sx6s4ykRGqpwYzk9GB9EMhreWItFiBb6hBIxBMddRSZn4hvVqK/CYqGRHRSMdzZCB4EZgdym9w==" saltValue="GKmK1Tx9Yq+mkt9pHGxG8g==" spinCount="100000" sheet="1" objects="1" scenarios="1" selectLockedCells="1"/>
  <protectedRanges>
    <protectedRange sqref="I11:M14 D16:M20 Q10:U14 Q16:U20 AB10:AD14 AB16:AD20 AF10:AG14 AF16:AG20 D11:G14 L10:M10 E10:G10" name="Folha3"/>
    <protectedRange sqref="I10:K10" name="Folha2_1"/>
    <protectedRange sqref="D10" name="Folha3_5"/>
  </protectedRanges>
  <mergeCells count="17">
    <mergeCell ref="Q6:AE6"/>
    <mergeCell ref="AF6:AJ6"/>
    <mergeCell ref="I27:AH27"/>
    <mergeCell ref="I26:AH26"/>
    <mergeCell ref="G41:H41"/>
    <mergeCell ref="I7:N7"/>
    <mergeCell ref="Q7:V7"/>
    <mergeCell ref="Y7:Z7"/>
    <mergeCell ref="I6:P6"/>
    <mergeCell ref="C22:D22"/>
    <mergeCell ref="C23:D23"/>
    <mergeCell ref="G28:H28"/>
    <mergeCell ref="C3:E3"/>
    <mergeCell ref="C4:H4"/>
    <mergeCell ref="C5:E5"/>
    <mergeCell ref="C9:D9"/>
    <mergeCell ref="C15:D15"/>
  </mergeCells>
  <pageMargins left="0.7" right="0.7" top="0.75" bottom="0.75" header="0.3" footer="0.3"/>
  <pageSetup paperSize="9" orientation="portrait" r:id="rId1"/>
  <ignoredErrors>
    <ignoredError sqref="N1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'16. Fatores de conversão'!$M$2:$M$3</xm:f>
          </x14:formula1>
          <xm:sqref>F1 E10:E14 E16:E20</xm:sqref>
        </x14:dataValidation>
        <x14:dataValidation type="list" allowBlank="1" showInputMessage="1" showErrorMessage="1">
          <x14:formula1>
            <xm:f>'15. Valores-Padrão'!$C$8:$C$11</xm:f>
          </x14:formula1>
          <xm:sqref>F10:F14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/>
  <dimension ref="B1:BD106"/>
  <sheetViews>
    <sheetView showGridLines="0" topLeftCell="B10" zoomScaleNormal="100" workbookViewId="0">
      <selection activeCell="F15" sqref="F15"/>
    </sheetView>
  </sheetViews>
  <sheetFormatPr defaultColWidth="9.109375" defaultRowHeight="14.4" x14ac:dyDescent="0.3"/>
  <cols>
    <col min="1" max="2" width="9.109375" style="3"/>
    <col min="3" max="3" width="11.5546875" style="1" customWidth="1"/>
    <col min="4" max="4" width="37.6640625" style="3" bestFit="1" customWidth="1"/>
    <col min="5" max="5" width="21.6640625" style="3" customWidth="1"/>
    <col min="6" max="6" width="62.33203125" style="3" customWidth="1"/>
    <col min="7" max="7" width="11.44140625" style="3" customWidth="1"/>
    <col min="8" max="8" width="14.44140625" style="3" customWidth="1"/>
    <col min="9" max="27" width="13.5546875" style="3" customWidth="1"/>
    <col min="28" max="29" width="13.5546875" style="4" customWidth="1"/>
    <col min="30" max="34" width="13.5546875" style="3" customWidth="1"/>
    <col min="35" max="35" width="16.6640625" style="3" customWidth="1"/>
    <col min="36" max="36" width="13.5546875" style="3" customWidth="1"/>
    <col min="37" max="37" width="11.88671875" style="3" customWidth="1"/>
    <col min="38" max="40" width="9.109375" style="3"/>
    <col min="41" max="41" width="18.5546875" style="3" customWidth="1"/>
    <col min="42" max="42" width="25.6640625" style="3" customWidth="1"/>
    <col min="43" max="46" width="18.5546875" style="3" customWidth="1"/>
    <col min="47" max="50" width="11.33203125" style="3" customWidth="1"/>
    <col min="51" max="16384" width="9.109375" style="3"/>
  </cols>
  <sheetData>
    <row r="1" spans="2:56" ht="15.75" thickBot="1" x14ac:dyDescent="0.3"/>
    <row r="2" spans="2:56" ht="15" x14ac:dyDescent="0.25">
      <c r="B2" s="55"/>
      <c r="C2" s="5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57"/>
      <c r="AC2" s="57"/>
      <c r="AD2" s="7"/>
      <c r="AE2" s="7"/>
      <c r="AF2" s="7"/>
      <c r="AG2" s="7"/>
      <c r="AH2" s="7"/>
      <c r="AI2" s="7"/>
      <c r="AJ2" s="7"/>
      <c r="AK2" s="7"/>
      <c r="AL2" s="8"/>
    </row>
    <row r="3" spans="2:56" ht="21" x14ac:dyDescent="0.25">
      <c r="B3" s="15"/>
      <c r="C3" s="937" t="s">
        <v>33</v>
      </c>
      <c r="D3" s="937"/>
      <c r="E3" s="937"/>
      <c r="F3" s="292"/>
      <c r="G3" s="292"/>
      <c r="H3" s="292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L3" s="12"/>
    </row>
    <row r="4" spans="2:56" ht="50.25" customHeight="1" x14ac:dyDescent="0.3">
      <c r="B4" s="15"/>
      <c r="C4" s="985" t="s">
        <v>56</v>
      </c>
      <c r="D4" s="985"/>
      <c r="E4" s="985"/>
      <c r="F4" s="985"/>
      <c r="G4" s="985"/>
      <c r="H4" s="98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36"/>
      <c r="AC4" s="36"/>
      <c r="AD4" s="11"/>
      <c r="AE4" s="11"/>
      <c r="AF4" s="11"/>
      <c r="AG4" s="11"/>
      <c r="AH4" s="11"/>
      <c r="AL4" s="12"/>
    </row>
    <row r="5" spans="2:56" ht="38.25" customHeight="1" thickBot="1" x14ac:dyDescent="0.35">
      <c r="B5" s="15"/>
      <c r="C5" s="986" t="s">
        <v>35</v>
      </c>
      <c r="D5" s="986"/>
      <c r="E5" s="986"/>
      <c r="F5" s="293"/>
      <c r="G5" s="293"/>
      <c r="H5" s="293"/>
      <c r="I5" s="11"/>
      <c r="J5" s="11"/>
      <c r="K5" s="11"/>
      <c r="L5" s="11"/>
      <c r="M5" s="11"/>
      <c r="N5" s="11"/>
      <c r="O5" s="11"/>
      <c r="P5" s="11"/>
      <c r="AL5" s="12"/>
    </row>
    <row r="6" spans="2:56" s="63" customFormat="1" ht="15" customHeight="1" thickBot="1" x14ac:dyDescent="0.35">
      <c r="B6" s="59"/>
      <c r="C6" s="60"/>
      <c r="D6" s="61"/>
      <c r="E6" s="61"/>
      <c r="F6" s="61"/>
      <c r="G6" s="61"/>
      <c r="H6" s="61"/>
      <c r="I6" s="61"/>
      <c r="J6" s="1000" t="s">
        <v>12</v>
      </c>
      <c r="K6" s="1001"/>
      <c r="L6" s="1001"/>
      <c r="M6" s="1001"/>
      <c r="N6" s="1001"/>
      <c r="O6" s="1001"/>
      <c r="P6" s="1001"/>
      <c r="Q6" s="1002"/>
      <c r="R6" s="1000" t="s">
        <v>15</v>
      </c>
      <c r="S6" s="1001"/>
      <c r="T6" s="1001"/>
      <c r="U6" s="1001"/>
      <c r="V6" s="1001"/>
      <c r="W6" s="1001"/>
      <c r="X6" s="1001"/>
      <c r="Y6" s="1001"/>
      <c r="Z6" s="1001"/>
      <c r="AA6" s="1001"/>
      <c r="AB6" s="1001"/>
      <c r="AC6" s="1001"/>
      <c r="AD6" s="1001"/>
      <c r="AE6" s="1001"/>
      <c r="AF6" s="1002"/>
      <c r="AG6" s="968" t="s">
        <v>0</v>
      </c>
      <c r="AH6" s="969"/>
      <c r="AI6" s="969"/>
      <c r="AJ6" s="969"/>
      <c r="AK6" s="970"/>
      <c r="AL6" s="12"/>
      <c r="AO6" s="61"/>
      <c r="AP6" s="61"/>
      <c r="AQ6" s="61"/>
      <c r="AR6" s="163"/>
      <c r="AS6" s="163"/>
      <c r="AT6" s="61"/>
      <c r="AU6" s="61"/>
      <c r="AV6" s="61"/>
    </row>
    <row r="7" spans="2:56" s="76" customFormat="1" ht="51.75" customHeight="1" thickBot="1" x14ac:dyDescent="0.35">
      <c r="B7" s="64"/>
      <c r="C7" s="65"/>
      <c r="D7" s="66"/>
      <c r="E7" s="66"/>
      <c r="F7" s="66"/>
      <c r="G7" s="67" t="s">
        <v>130</v>
      </c>
      <c r="H7" s="245" t="s">
        <v>219</v>
      </c>
      <c r="I7" s="68" t="s">
        <v>14</v>
      </c>
      <c r="J7" s="979" t="s">
        <v>171</v>
      </c>
      <c r="K7" s="980"/>
      <c r="L7" s="980"/>
      <c r="M7" s="980"/>
      <c r="N7" s="980"/>
      <c r="O7" s="980"/>
      <c r="P7" s="295" t="s">
        <v>207</v>
      </c>
      <c r="Q7" s="797" t="s">
        <v>175</v>
      </c>
      <c r="R7" s="979" t="s">
        <v>180</v>
      </c>
      <c r="S7" s="980"/>
      <c r="T7" s="980"/>
      <c r="U7" s="980"/>
      <c r="V7" s="980"/>
      <c r="W7" s="980"/>
      <c r="X7" s="797" t="s">
        <v>118</v>
      </c>
      <c r="Y7" s="612" t="s">
        <v>2</v>
      </c>
      <c r="Z7" s="981" t="s">
        <v>3</v>
      </c>
      <c r="AA7" s="981"/>
      <c r="AB7" s="612" t="s">
        <v>182</v>
      </c>
      <c r="AC7" s="71" t="s">
        <v>183</v>
      </c>
      <c r="AD7" s="72" t="s">
        <v>119</v>
      </c>
      <c r="AE7" s="73" t="s">
        <v>187</v>
      </c>
      <c r="AF7" s="795" t="s">
        <v>188</v>
      </c>
      <c r="AG7" s="75" t="s">
        <v>194</v>
      </c>
      <c r="AH7" s="72" t="s">
        <v>142</v>
      </c>
      <c r="AI7" s="612" t="s">
        <v>245</v>
      </c>
      <c r="AJ7" s="612" t="s">
        <v>50</v>
      </c>
      <c r="AK7" s="795" t="s">
        <v>1</v>
      </c>
      <c r="AL7" s="12"/>
      <c r="AN7" s="66"/>
      <c r="AO7" s="66"/>
      <c r="AP7" s="66"/>
      <c r="AQ7" s="66"/>
      <c r="AR7" s="163"/>
      <c r="AS7" s="163"/>
      <c r="AW7" s="66"/>
      <c r="AX7" s="66"/>
      <c r="AY7" s="66"/>
      <c r="AZ7" s="66"/>
      <c r="BA7" s="66"/>
      <c r="BB7" s="66"/>
      <c r="BC7" s="66"/>
      <c r="BD7" s="66"/>
    </row>
    <row r="8" spans="2:56" s="76" customFormat="1" ht="63" customHeight="1" x14ac:dyDescent="0.3">
      <c r="B8" s="64"/>
      <c r="C8" s="77" t="s">
        <v>10</v>
      </c>
      <c r="D8" s="78" t="s">
        <v>11</v>
      </c>
      <c r="E8" s="79" t="s">
        <v>238</v>
      </c>
      <c r="F8" s="78" t="s">
        <v>37</v>
      </c>
      <c r="G8" s="80" t="s">
        <v>235</v>
      </c>
      <c r="H8" s="84" t="s">
        <v>186</v>
      </c>
      <c r="I8" s="613" t="s">
        <v>131</v>
      </c>
      <c r="J8" s="81" t="str">
        <f>'1. Identificação Ben. Oper.'!D50</f>
        <v>Energia Elétrica</v>
      </c>
      <c r="K8" s="82" t="str">
        <f>IF('1. Identificação Ben. Oper.'!E50="","",'1. Identificação Ben. Oper.'!E50)</f>
        <v>Gás Natural</v>
      </c>
      <c r="L8" s="82" t="str">
        <f>IF('1. Identificação Ben. Oper.'!F50="","",'1. Identificação Ben. Oper.'!F50)</f>
        <v/>
      </c>
      <c r="M8" s="82" t="str">
        <f>IF('1. Identificação Ben. Oper.'!G50="","",'1. Identificação Ben. Oper.'!G50)</f>
        <v/>
      </c>
      <c r="N8" s="82" t="str">
        <f>IF('1. Identificação Ben. Oper.'!H50="","",'1. Identificação Ben. Oper.'!H50)</f>
        <v/>
      </c>
      <c r="O8" s="82" t="s">
        <v>85</v>
      </c>
      <c r="P8" s="82" t="s">
        <v>4</v>
      </c>
      <c r="Q8" s="747" t="s">
        <v>5</v>
      </c>
      <c r="R8" s="610" t="str">
        <f t="shared" ref="R8:W8" si="0">+J8</f>
        <v>Energia Elétrica</v>
      </c>
      <c r="S8" s="82" t="str">
        <f t="shared" si="0"/>
        <v>Gás Natural</v>
      </c>
      <c r="T8" s="82" t="str">
        <f t="shared" si="0"/>
        <v/>
      </c>
      <c r="U8" s="82" t="str">
        <f t="shared" si="0"/>
        <v/>
      </c>
      <c r="V8" s="82" t="str">
        <f t="shared" si="0"/>
        <v/>
      </c>
      <c r="W8" s="82" t="str">
        <f t="shared" si="0"/>
        <v>Total</v>
      </c>
      <c r="X8" s="82" t="s">
        <v>5</v>
      </c>
      <c r="Y8" s="82" t="s">
        <v>6</v>
      </c>
      <c r="Z8" s="82" t="s">
        <v>181</v>
      </c>
      <c r="AA8" s="82" t="s">
        <v>4</v>
      </c>
      <c r="AB8" s="82" t="s">
        <v>7</v>
      </c>
      <c r="AC8" s="80" t="s">
        <v>5</v>
      </c>
      <c r="AD8" s="80" t="s">
        <v>116</v>
      </c>
      <c r="AE8" s="84" t="s">
        <v>186</v>
      </c>
      <c r="AF8" s="747" t="s">
        <v>120</v>
      </c>
      <c r="AG8" s="86" t="s">
        <v>116</v>
      </c>
      <c r="AH8" s="87" t="s">
        <v>116</v>
      </c>
      <c r="AI8" s="82" t="s">
        <v>116</v>
      </c>
      <c r="AJ8" s="82" t="s">
        <v>116</v>
      </c>
      <c r="AK8" s="747" t="s">
        <v>131</v>
      </c>
      <c r="AL8" s="12"/>
      <c r="AN8" s="66"/>
      <c r="AO8" s="66"/>
      <c r="AP8" s="66"/>
      <c r="AQ8" s="66"/>
      <c r="AR8" s="163"/>
      <c r="AS8" s="163"/>
      <c r="AW8" s="66"/>
      <c r="AX8" s="66"/>
      <c r="AY8" s="37"/>
      <c r="AZ8" s="66"/>
      <c r="BA8" s="66"/>
      <c r="BB8" s="66"/>
      <c r="BC8" s="66"/>
      <c r="BD8" s="66"/>
    </row>
    <row r="9" spans="2:56" s="76" customFormat="1" ht="36.75" customHeight="1" x14ac:dyDescent="0.3">
      <c r="B9" s="64"/>
      <c r="C9" s="989" t="s">
        <v>48</v>
      </c>
      <c r="D9" s="990"/>
      <c r="E9" s="990"/>
      <c r="F9" s="88"/>
      <c r="G9" s="88"/>
      <c r="H9" s="88"/>
      <c r="I9" s="88"/>
      <c r="J9" s="89"/>
      <c r="K9" s="88"/>
      <c r="L9" s="88"/>
      <c r="M9" s="88"/>
      <c r="N9" s="88"/>
      <c r="O9" s="88"/>
      <c r="P9" s="88"/>
      <c r="Q9" s="90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90"/>
      <c r="AG9" s="89"/>
      <c r="AH9" s="88"/>
      <c r="AI9" s="88"/>
      <c r="AJ9" s="88"/>
      <c r="AK9" s="90"/>
      <c r="AL9" s="12"/>
      <c r="AN9" s="66"/>
      <c r="AO9" s="66"/>
      <c r="AP9" s="66"/>
      <c r="AQ9" s="66"/>
      <c r="AR9" s="163"/>
      <c r="AS9" s="163"/>
      <c r="AW9" s="66"/>
      <c r="AX9" s="39"/>
      <c r="AY9" s="37"/>
      <c r="AZ9" s="66"/>
      <c r="BA9" s="66"/>
      <c r="BB9" s="66"/>
      <c r="BC9" s="66"/>
      <c r="BD9" s="66"/>
    </row>
    <row r="10" spans="2:56" ht="30" customHeight="1" x14ac:dyDescent="0.25">
      <c r="B10" s="15"/>
      <c r="C10" s="91">
        <v>1</v>
      </c>
      <c r="D10" s="620"/>
      <c r="E10" s="622"/>
      <c r="F10" s="648"/>
      <c r="G10" s="657"/>
      <c r="H10" s="658"/>
      <c r="I10" s="92" t="str">
        <f>IF(F10="","",VLOOKUP(F10,'15. Valores-Padrão'!$C$19:$F$28,4,FALSE))</f>
        <v/>
      </c>
      <c r="J10" s="635"/>
      <c r="K10" s="627"/>
      <c r="L10" s="627"/>
      <c r="M10" s="627"/>
      <c r="N10" s="627"/>
      <c r="O10" s="93">
        <f>+SUM(J10:N10)</f>
        <v>0</v>
      </c>
      <c r="P10" s="94">
        <f>+VLOOKUP($J$8,'16. Fatores de conversão'!$A$6:$I$14,6,FALSE)*J10+VLOOKUP($K$8,'16. Fatores de conversão'!$A$6:$I$14,6,FALSE)*K10+VLOOKUP($L$8,'16. Fatores de conversão'!$A$6:$I$14,6,FALSE)*L10+VLOOKUP($M$8,'16. Fatores de conversão'!$A$6:$I$14,6,FALSE)*M10+VLOOKUP($N$8,'16. Fatores de conversão'!$A$6:$I$14,6,FALSE)*N10</f>
        <v>0</v>
      </c>
      <c r="Q10" s="744">
        <f>+SUMPRODUCT('1. Identificação Ben. Oper.'!$D$56:$H$56,I10:M10)</f>
        <v>0</v>
      </c>
      <c r="R10" s="659"/>
      <c r="S10" s="637"/>
      <c r="T10" s="637"/>
      <c r="U10" s="637"/>
      <c r="V10" s="637"/>
      <c r="W10" s="93">
        <f>+SUM(R10:V10)</f>
        <v>0</v>
      </c>
      <c r="X10" s="603">
        <f>+SUMPRODUCT('1. Identificação Ben. Oper.'!$D$56:$H$56,R10:V10)</f>
        <v>0</v>
      </c>
      <c r="Y10" s="604">
        <f>IF(O10=0,0,W10/O10)</f>
        <v>0</v>
      </c>
      <c r="Z10" s="94">
        <f>+VLOOKUP($R$8,'16. Fatores de conversão'!$A$6:$I$14,3,FALSE)*R10+VLOOKUP($S$8,'16. Fatores de conversão'!$A$6:$I$14,3,FALSE)*S10+VLOOKUP($T$8,'16. Fatores de conversão'!$A$6:$I$14,3,FALSE)*T10+VLOOKUP($U$8,'16. Fatores de conversão'!$A$6:$I$14,3,FALSE)*U10+VLOOKUP($V$8,'16. Fatores de conversão'!$A$6:$I$14,3,FALSE)*V10</f>
        <v>0</v>
      </c>
      <c r="AA10" s="94">
        <f>+VLOOKUP($R$8,'16. Fatores de conversão'!$A$6:$I$14,6,FALSE)*R10+VLOOKUP($S$8,'16. Fatores de conversão'!$A$6:$I$14,6,FALSE)*S10+VLOOKUP($T$8,'16. Fatores de conversão'!$A$6:$I$14,6,FALSE)*T10+VLOOKUP($U$8,'16. Fatores de conversão'!$A$6:$I$14,6,FALSE)*U10+VLOOKUP($V$8,'16. Fatores de conversão'!$A$6:$I$14,6,FALSE)*V10</f>
        <v>0</v>
      </c>
      <c r="AB10" s="94">
        <f>(VLOOKUP($R$8,'16. Fatores de conversão'!$A$6:$I$14,9,FALSE)*R10+VLOOKUP($S$8,'16. Fatores de conversão'!$A$6:$I$14,9,FALSE)*S10+VLOOKUP($T$8,'16. Fatores de conversão'!$A$6:$I$14,9,FALSE)*T10+VLOOKUP($U$8,'16. Fatores de conversão'!$A$6:$I$14,9,FALSE)*U10+VLOOKUP($V$8,'16. Fatores de conversão'!$A$6:$I$14,9,FALSE)*V10)/1000</f>
        <v>0</v>
      </c>
      <c r="AC10" s="630"/>
      <c r="AD10" s="630"/>
      <c r="AE10" s="638"/>
      <c r="AF10" s="796">
        <f>IF(OR(AD10="",AD10=0),0,IF(OR(AE10="",AE10=0),0,I10+1))</f>
        <v>0</v>
      </c>
      <c r="AG10" s="640"/>
      <c r="AH10" s="630"/>
      <c r="AI10" s="603" t="str">
        <f>IF(F10="","",VLOOKUP(F10,'15. Valores-Padrão'!$C$19:$F$28,3,FALSE)+H10*15)</f>
        <v/>
      </c>
      <c r="AJ10" s="603">
        <f>IF(AG10=0,0,IF(AG10&lt;(AI10),AG10+AH10,((AI10)+((AH10/AG10)*AI10))))</f>
        <v>0</v>
      </c>
      <c r="AK10" s="788">
        <f>IF(X10=0,0,(AG10+AH10)/X10)</f>
        <v>0</v>
      </c>
      <c r="AL10" s="12"/>
      <c r="AN10" s="11"/>
      <c r="AO10" s="11"/>
      <c r="AP10" s="11"/>
      <c r="AQ10" s="11"/>
      <c r="AR10" s="163"/>
      <c r="AS10" s="163"/>
      <c r="AW10" s="11"/>
      <c r="AX10" s="11"/>
      <c r="AY10" s="37"/>
      <c r="AZ10" s="66"/>
      <c r="BA10" s="66"/>
      <c r="BB10" s="66"/>
      <c r="BC10" s="11"/>
      <c r="BD10" s="11"/>
    </row>
    <row r="11" spans="2:56" ht="30" customHeight="1" x14ac:dyDescent="0.25">
      <c r="B11" s="15"/>
      <c r="C11" s="91">
        <v>2</v>
      </c>
      <c r="D11" s="620"/>
      <c r="E11" s="622"/>
      <c r="F11" s="648"/>
      <c r="G11" s="657"/>
      <c r="H11" s="658"/>
      <c r="I11" s="92" t="str">
        <f>IF(F11="","",VLOOKUP(F11,'15. Valores-Padrão'!$C$19:$F$28,4,FALSE))</f>
        <v/>
      </c>
      <c r="J11" s="635"/>
      <c r="K11" s="627"/>
      <c r="L11" s="627"/>
      <c r="M11" s="627"/>
      <c r="N11" s="627"/>
      <c r="O11" s="93">
        <f t="shared" ref="O11:O15" si="1">+SUM(J11:N11)</f>
        <v>0</v>
      </c>
      <c r="P11" s="94">
        <f>+VLOOKUP($J$8,'16. Fatores de conversão'!$A$6:$I$14,6,FALSE)*J11+VLOOKUP($K$8,'16. Fatores de conversão'!$A$6:$I$14,6,FALSE)*K11+VLOOKUP($L$8,'16. Fatores de conversão'!$A$6:$I$14,6,FALSE)*L11+VLOOKUP($M$8,'16. Fatores de conversão'!$A$6:$I$14,6,FALSE)*M11+VLOOKUP($N$8,'16. Fatores de conversão'!$A$6:$I$14,6,FALSE)*N11</f>
        <v>0</v>
      </c>
      <c r="Q11" s="744">
        <f>+SUMPRODUCT('1. Identificação Ben. Oper.'!$D$56:$H$56,J11:N11)</f>
        <v>0</v>
      </c>
      <c r="R11" s="659"/>
      <c r="S11" s="637"/>
      <c r="T11" s="637"/>
      <c r="U11" s="637"/>
      <c r="V11" s="637"/>
      <c r="W11" s="93">
        <f t="shared" ref="W11:W15" si="2">+SUM(R11:V11)</f>
        <v>0</v>
      </c>
      <c r="X11" s="603">
        <f>+SUMPRODUCT('1. Identificação Ben. Oper.'!$D$56:$H$56,R11:V11)</f>
        <v>0</v>
      </c>
      <c r="Y11" s="604">
        <f>IF(O11=0,0,W11/O11)</f>
        <v>0</v>
      </c>
      <c r="Z11" s="94">
        <f>+VLOOKUP($R$8,'16. Fatores de conversão'!$A$6:$I$14,3,FALSE)*R11+VLOOKUP($S$8,'16. Fatores de conversão'!$A$6:$I$14,3,FALSE)*S11+VLOOKUP($T$8,'16. Fatores de conversão'!$A$6:$I$14,3,FALSE)*T11+VLOOKUP($U$8,'16. Fatores de conversão'!$A$6:$I$14,3,FALSE)*U11+VLOOKUP($V$8,'16. Fatores de conversão'!$A$6:$I$14,3,FALSE)*V11</f>
        <v>0</v>
      </c>
      <c r="AA11" s="94">
        <f>+VLOOKUP($R$8,'16. Fatores de conversão'!$A$6:$I$14,6,FALSE)*R11+VLOOKUP($S$8,'16. Fatores de conversão'!$A$6:$I$14,6,FALSE)*S11+VLOOKUP($T$8,'16. Fatores de conversão'!$A$6:$I$14,6,FALSE)*T11+VLOOKUP($U$8,'16. Fatores de conversão'!$A$6:$I$14,6,FALSE)*U11+VLOOKUP($V$8,'16. Fatores de conversão'!$A$6:$I$14,6,FALSE)*V11</f>
        <v>0</v>
      </c>
      <c r="AB11" s="94">
        <f>(VLOOKUP($R$8,'16. Fatores de conversão'!$A$6:$I$14,9,FALSE)*R11+VLOOKUP($S$8,'16. Fatores de conversão'!$A$6:$I$14,9,FALSE)*S11+VLOOKUP($T$8,'16. Fatores de conversão'!$A$6:$I$14,9,FALSE)*T11+VLOOKUP($U$8,'16. Fatores de conversão'!$A$6:$I$14,9,FALSE)*U11+VLOOKUP($V$8,'16. Fatores de conversão'!$A$6:$I$14,9,FALSE)*V11)/1000</f>
        <v>0</v>
      </c>
      <c r="AC11" s="630"/>
      <c r="AD11" s="630"/>
      <c r="AE11" s="638"/>
      <c r="AF11" s="796">
        <f>IF(OR(AD11="",AD11=0),0,IF(OR(AE11="",AE11=0),0,I11+1))</f>
        <v>0</v>
      </c>
      <c r="AG11" s="640"/>
      <c r="AH11" s="630"/>
      <c r="AI11" s="603" t="str">
        <f>IF(F11="","",VLOOKUP(F11,'15. Valores-Padrão'!$C$19:$F$28,3,FALSE)+H11*15)</f>
        <v/>
      </c>
      <c r="AJ11" s="603">
        <f t="shared" ref="AJ11:AJ20" si="3">IF(AG11=0,0,IF(AG11&lt;(AI11),AG11+AH11,((AI11)+((AH11/AG11)*AI11))))</f>
        <v>0</v>
      </c>
      <c r="AK11" s="788">
        <f t="shared" ref="AK11:AK21" si="4">IF(X11=0,0,(AG11+AH11)/X11)</f>
        <v>0</v>
      </c>
      <c r="AL11" s="12"/>
      <c r="AN11" s="11"/>
      <c r="AO11" s="11"/>
      <c r="AP11" s="11"/>
      <c r="AQ11" s="11"/>
      <c r="AR11" s="163"/>
      <c r="AS11" s="163"/>
      <c r="AW11" s="11"/>
      <c r="AX11" s="11"/>
      <c r="AY11" s="37"/>
      <c r="AZ11" s="66"/>
      <c r="BA11" s="66"/>
      <c r="BB11" s="66"/>
      <c r="BC11" s="11"/>
      <c r="BD11" s="11"/>
    </row>
    <row r="12" spans="2:56" ht="30" customHeight="1" x14ac:dyDescent="0.25">
      <c r="B12" s="15"/>
      <c r="C12" s="91">
        <v>3</v>
      </c>
      <c r="D12" s="620"/>
      <c r="E12" s="622"/>
      <c r="F12" s="648"/>
      <c r="G12" s="657"/>
      <c r="H12" s="658"/>
      <c r="I12" s="92" t="str">
        <f>IF(F12="","",VLOOKUP(F12,'15. Valores-Padrão'!$C$19:$F$28,4,FALSE))</f>
        <v/>
      </c>
      <c r="J12" s="635"/>
      <c r="K12" s="627"/>
      <c r="L12" s="627"/>
      <c r="M12" s="627"/>
      <c r="N12" s="627"/>
      <c r="O12" s="93">
        <f t="shared" si="1"/>
        <v>0</v>
      </c>
      <c r="P12" s="94">
        <f>+VLOOKUP($J$8,'16. Fatores de conversão'!$A$6:$I$14,6,FALSE)*J12+VLOOKUP($K$8,'16. Fatores de conversão'!$A$6:$I$14,6,FALSE)*K12+VLOOKUP($L$8,'16. Fatores de conversão'!$A$6:$I$14,6,FALSE)*L12+VLOOKUP($M$8,'16. Fatores de conversão'!$A$6:$I$14,6,FALSE)*M12+VLOOKUP($N$8,'16. Fatores de conversão'!$A$6:$I$14,6,FALSE)*N12</f>
        <v>0</v>
      </c>
      <c r="Q12" s="744">
        <f>+SUMPRODUCT('1. Identificação Ben. Oper.'!$D$56:$H$56,J12:N12)</f>
        <v>0</v>
      </c>
      <c r="R12" s="659"/>
      <c r="S12" s="637"/>
      <c r="T12" s="637"/>
      <c r="U12" s="637"/>
      <c r="V12" s="637"/>
      <c r="W12" s="93">
        <f t="shared" si="2"/>
        <v>0</v>
      </c>
      <c r="X12" s="603">
        <f>+SUMPRODUCT('1. Identificação Ben. Oper.'!$D$56:$H$56,R12:V12)</f>
        <v>0</v>
      </c>
      <c r="Y12" s="604">
        <f>IF(O12=0,0,W12/O12)</f>
        <v>0</v>
      </c>
      <c r="Z12" s="94">
        <f>+VLOOKUP($R$8,'16. Fatores de conversão'!$A$6:$I$14,3,FALSE)*R12+VLOOKUP($S$8,'16. Fatores de conversão'!$A$6:$I$14,3,FALSE)*S12+VLOOKUP($T$8,'16. Fatores de conversão'!$A$6:$I$14,3,FALSE)*T12+VLOOKUP($U$8,'16. Fatores de conversão'!$A$6:$I$14,3,FALSE)*U12+VLOOKUP($V$8,'16. Fatores de conversão'!$A$6:$I$14,3,FALSE)*V12</f>
        <v>0</v>
      </c>
      <c r="AA12" s="94">
        <f>+VLOOKUP($R$8,'16. Fatores de conversão'!$A$6:$I$14,6,FALSE)*R12+VLOOKUP($S$8,'16. Fatores de conversão'!$A$6:$I$14,6,FALSE)*S12+VLOOKUP($T$8,'16. Fatores de conversão'!$A$6:$I$14,6,FALSE)*T12+VLOOKUP($U$8,'16. Fatores de conversão'!$A$6:$I$14,6,FALSE)*U12+VLOOKUP($V$8,'16. Fatores de conversão'!$A$6:$I$14,6,FALSE)*V12</f>
        <v>0</v>
      </c>
      <c r="AB12" s="94">
        <f>(VLOOKUP($R$8,'16. Fatores de conversão'!$A$6:$I$14,9,FALSE)*R12+VLOOKUP($S$8,'16. Fatores de conversão'!$A$6:$I$14,9,FALSE)*S12+VLOOKUP($T$8,'16. Fatores de conversão'!$A$6:$I$14,9,FALSE)*T12+VLOOKUP($U$8,'16. Fatores de conversão'!$A$6:$I$14,9,FALSE)*U12+VLOOKUP($V$8,'16. Fatores de conversão'!$A$6:$I$14,9,FALSE)*V12)/1000</f>
        <v>0</v>
      </c>
      <c r="AC12" s="630"/>
      <c r="AD12" s="630"/>
      <c r="AE12" s="638"/>
      <c r="AF12" s="796">
        <f>IF(OR(AD12="",AD12=0),0,IF(OR(AE12="",AE12=0),0,I12+1))</f>
        <v>0</v>
      </c>
      <c r="AG12" s="640"/>
      <c r="AH12" s="630"/>
      <c r="AI12" s="603" t="str">
        <f>IF(F12="","",VLOOKUP(F12,'15. Valores-Padrão'!$C$19:$F$28,3,FALSE)+H12*15)</f>
        <v/>
      </c>
      <c r="AJ12" s="603">
        <f t="shared" si="3"/>
        <v>0</v>
      </c>
      <c r="AK12" s="788">
        <f t="shared" si="4"/>
        <v>0</v>
      </c>
      <c r="AL12" s="12"/>
      <c r="AN12" s="11"/>
      <c r="AO12" s="11"/>
      <c r="AP12" s="11"/>
      <c r="AQ12" s="11"/>
      <c r="AR12" s="163"/>
      <c r="AS12" s="163"/>
      <c r="AW12" s="11"/>
      <c r="AX12" s="11"/>
      <c r="AY12" s="37"/>
      <c r="AZ12" s="66"/>
      <c r="BA12" s="66"/>
      <c r="BB12" s="66"/>
      <c r="BC12" s="11"/>
      <c r="BD12" s="11"/>
    </row>
    <row r="13" spans="2:56" ht="30" customHeight="1" x14ac:dyDescent="0.25">
      <c r="B13" s="15"/>
      <c r="C13" s="91">
        <v>4</v>
      </c>
      <c r="D13" s="620"/>
      <c r="E13" s="622"/>
      <c r="F13" s="648"/>
      <c r="G13" s="657"/>
      <c r="H13" s="658"/>
      <c r="I13" s="92" t="str">
        <f>IF(F13="","",VLOOKUP(F13,'15. Valores-Padrão'!$C$19:$F$28,4,FALSE))</f>
        <v/>
      </c>
      <c r="J13" s="635"/>
      <c r="K13" s="627"/>
      <c r="L13" s="627"/>
      <c r="M13" s="627"/>
      <c r="N13" s="627"/>
      <c r="O13" s="93">
        <f t="shared" si="1"/>
        <v>0</v>
      </c>
      <c r="P13" s="94">
        <f>+VLOOKUP($J$8,'16. Fatores de conversão'!$A$6:$I$14,6,FALSE)*J13+VLOOKUP($K$8,'16. Fatores de conversão'!$A$6:$I$14,6,FALSE)*K13+VLOOKUP($L$8,'16. Fatores de conversão'!$A$6:$I$14,6,FALSE)*L13+VLOOKUP($M$8,'16. Fatores de conversão'!$A$6:$I$14,6,FALSE)*M13+VLOOKUP($N$8,'16. Fatores de conversão'!$A$6:$I$14,6,FALSE)*N13</f>
        <v>0</v>
      </c>
      <c r="Q13" s="744">
        <f>+SUMPRODUCT('1. Identificação Ben. Oper.'!$D$56:$H$56,J13:N13)</f>
        <v>0</v>
      </c>
      <c r="R13" s="659"/>
      <c r="S13" s="637"/>
      <c r="T13" s="637"/>
      <c r="U13" s="637"/>
      <c r="V13" s="637"/>
      <c r="W13" s="93">
        <f t="shared" si="2"/>
        <v>0</v>
      </c>
      <c r="X13" s="603">
        <f>+SUMPRODUCT('1. Identificação Ben. Oper.'!$D$56:$H$56,R13:V13)</f>
        <v>0</v>
      </c>
      <c r="Y13" s="604">
        <f>IF(O13=0,0,W13/O13)</f>
        <v>0</v>
      </c>
      <c r="Z13" s="94">
        <f>+VLOOKUP($R$8,'16. Fatores de conversão'!$A$6:$I$14,3,FALSE)*R13+VLOOKUP($S$8,'16. Fatores de conversão'!$A$6:$I$14,3,FALSE)*S13+VLOOKUP($T$8,'16. Fatores de conversão'!$A$6:$I$14,3,FALSE)*T13+VLOOKUP($U$8,'16. Fatores de conversão'!$A$6:$I$14,3,FALSE)*U13+VLOOKUP($V$8,'16. Fatores de conversão'!$A$6:$I$14,3,FALSE)*V13</f>
        <v>0</v>
      </c>
      <c r="AA13" s="94">
        <f>+VLOOKUP($R$8,'16. Fatores de conversão'!$A$6:$I$14,6,FALSE)*R13+VLOOKUP($S$8,'16. Fatores de conversão'!$A$6:$I$14,6,FALSE)*S13+VLOOKUP($T$8,'16. Fatores de conversão'!$A$6:$I$14,6,FALSE)*T13+VLOOKUP($U$8,'16. Fatores de conversão'!$A$6:$I$14,6,FALSE)*U13+VLOOKUP($V$8,'16. Fatores de conversão'!$A$6:$I$14,6,FALSE)*V13</f>
        <v>0</v>
      </c>
      <c r="AB13" s="94">
        <f>(VLOOKUP($R$8,'16. Fatores de conversão'!$A$6:$I$14,9,FALSE)*R13+VLOOKUP($S$8,'16. Fatores de conversão'!$A$6:$I$14,9,FALSE)*S13+VLOOKUP($T$8,'16. Fatores de conversão'!$A$6:$I$14,9,FALSE)*T13+VLOOKUP($U$8,'16. Fatores de conversão'!$A$6:$I$14,9,FALSE)*U13+VLOOKUP($V$8,'16. Fatores de conversão'!$A$6:$I$14,9,FALSE)*V13)/1000</f>
        <v>0</v>
      </c>
      <c r="AC13" s="630"/>
      <c r="AD13" s="630"/>
      <c r="AE13" s="638"/>
      <c r="AF13" s="796">
        <f>IF(OR(AD13="",AD13=0),0,IF(OR(AE13="",AE13=0),0,I13+1))</f>
        <v>0</v>
      </c>
      <c r="AG13" s="640"/>
      <c r="AH13" s="630"/>
      <c r="AI13" s="603" t="str">
        <f>IF(F13="","",VLOOKUP(F13,'15. Valores-Padrão'!$C$19:$F$28,3,FALSE)+H13*15)</f>
        <v/>
      </c>
      <c r="AJ13" s="603">
        <f t="shared" si="3"/>
        <v>0</v>
      </c>
      <c r="AK13" s="788">
        <f t="shared" si="4"/>
        <v>0</v>
      </c>
      <c r="AL13" s="12"/>
      <c r="AN13" s="11"/>
      <c r="AO13" s="11"/>
      <c r="AP13" s="11"/>
      <c r="AQ13" s="11"/>
      <c r="AR13" s="163"/>
      <c r="AS13" s="163"/>
      <c r="AW13" s="11"/>
      <c r="AX13" s="11"/>
      <c r="AY13" s="95"/>
      <c r="AZ13" s="66"/>
      <c r="BA13" s="66"/>
      <c r="BB13" s="66"/>
      <c r="BC13" s="11"/>
      <c r="BD13" s="11"/>
    </row>
    <row r="14" spans="2:56" ht="30" customHeight="1" x14ac:dyDescent="0.3">
      <c r="B14" s="15"/>
      <c r="C14" s="989" t="s">
        <v>471</v>
      </c>
      <c r="D14" s="990"/>
      <c r="E14" s="990"/>
      <c r="F14" s="88"/>
      <c r="G14" s="88"/>
      <c r="H14" s="88"/>
      <c r="I14" s="88"/>
      <c r="J14" s="413"/>
      <c r="K14" s="369"/>
      <c r="L14" s="369"/>
      <c r="M14" s="369"/>
      <c r="N14" s="369"/>
      <c r="O14" s="88"/>
      <c r="P14" s="88"/>
      <c r="Q14" s="90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90"/>
      <c r="AG14" s="89"/>
      <c r="AH14" s="88"/>
      <c r="AI14" s="96"/>
      <c r="AJ14" s="88"/>
      <c r="AK14" s="90"/>
      <c r="AL14" s="12"/>
      <c r="AN14" s="11"/>
      <c r="AO14" s="11"/>
      <c r="AP14" s="11"/>
      <c r="AQ14" s="11"/>
      <c r="AR14" s="163"/>
      <c r="AS14" s="163"/>
      <c r="AW14" s="11"/>
      <c r="AX14" s="11"/>
      <c r="AY14" s="95"/>
      <c r="AZ14" s="66"/>
      <c r="BA14" s="66"/>
      <c r="BB14" s="66"/>
      <c r="BC14" s="11"/>
      <c r="BD14" s="11"/>
    </row>
    <row r="15" spans="2:56" ht="30" customHeight="1" x14ac:dyDescent="0.25">
      <c r="B15" s="15"/>
      <c r="C15" s="91">
        <v>5</v>
      </c>
      <c r="D15" s="620"/>
      <c r="E15" s="622"/>
      <c r="F15" s="648"/>
      <c r="G15" s="657"/>
      <c r="H15" s="658"/>
      <c r="I15" s="644"/>
      <c r="J15" s="635"/>
      <c r="K15" s="627"/>
      <c r="L15" s="627"/>
      <c r="M15" s="627"/>
      <c r="N15" s="627"/>
      <c r="O15" s="93">
        <f t="shared" si="1"/>
        <v>0</v>
      </c>
      <c r="P15" s="94">
        <f>+VLOOKUP($J$8,'16. Fatores de conversão'!$A$6:$I$14,6,FALSE)*J15+VLOOKUP($K$8,'16. Fatores de conversão'!$A$6:$I$14,6,FALSE)*K15+VLOOKUP($L$8,'16. Fatores de conversão'!$A$6:$I$14,6,FALSE)*L15+VLOOKUP($M$8,'16. Fatores de conversão'!$A$6:$I$14,6,FALSE)*M15+VLOOKUP($N$8,'16. Fatores de conversão'!$A$6:$I$14,6,FALSE)*N15</f>
        <v>0</v>
      </c>
      <c r="Q15" s="744">
        <f>+SUMPRODUCT('1. Identificação Ben. Oper.'!$D$56:$H$56,J15:N15)</f>
        <v>0</v>
      </c>
      <c r="R15" s="659"/>
      <c r="S15" s="637"/>
      <c r="T15" s="637"/>
      <c r="U15" s="637"/>
      <c r="V15" s="637"/>
      <c r="W15" s="93">
        <f t="shared" si="2"/>
        <v>0</v>
      </c>
      <c r="X15" s="603">
        <f>+SUMPRODUCT('1. Identificação Ben. Oper.'!$D$56:$H$56,R15:V15)</f>
        <v>0</v>
      </c>
      <c r="Y15" s="604">
        <f>IF(O15=0,0,W15/O15)</f>
        <v>0</v>
      </c>
      <c r="Z15" s="94">
        <f>+VLOOKUP($R$8,'16. Fatores de conversão'!$A$6:$I$14,3,FALSE)*R15+VLOOKUP($S$8,'16. Fatores de conversão'!$A$6:$I$14,3,FALSE)*S15+VLOOKUP($T$8,'16. Fatores de conversão'!$A$6:$I$14,3,FALSE)*T15+VLOOKUP($U$8,'16. Fatores de conversão'!$A$6:$I$14,3,FALSE)*U15+VLOOKUP($V$8,'16. Fatores de conversão'!$A$6:$I$14,3,FALSE)*V15</f>
        <v>0</v>
      </c>
      <c r="AA15" s="94">
        <f>+VLOOKUP($R$8,'16. Fatores de conversão'!$A$6:$I$14,6,FALSE)*R15+VLOOKUP($S$8,'16. Fatores de conversão'!$A$6:$I$14,6,FALSE)*S15+VLOOKUP($T$8,'16. Fatores de conversão'!$A$6:$I$14,6,FALSE)*T15+VLOOKUP($U$8,'16. Fatores de conversão'!$A$6:$I$14,6,FALSE)*U15+VLOOKUP($V$8,'16. Fatores de conversão'!$A$6:$I$14,6,FALSE)*V15</f>
        <v>0</v>
      </c>
      <c r="AB15" s="94">
        <f>(VLOOKUP($R$8,'16. Fatores de conversão'!$A$6:$I$14,9,FALSE)*R15+VLOOKUP($S$8,'16. Fatores de conversão'!$A$6:$I$14,9,FALSE)*S15+VLOOKUP($T$8,'16. Fatores de conversão'!$A$6:$I$14,9,FALSE)*T15+VLOOKUP($U$8,'16. Fatores de conversão'!$A$6:$I$14,9,FALSE)*U15+VLOOKUP($V$8,'16. Fatores de conversão'!$A$6:$I$14,9,FALSE)*V15)/1000</f>
        <v>0</v>
      </c>
      <c r="AC15" s="630"/>
      <c r="AD15" s="630"/>
      <c r="AE15" s="638"/>
      <c r="AF15" s="796">
        <f>IF(OR(AD15="",AD15=0),0,IF(OR(AE15="",AE15=0),0,I15+1))</f>
        <v>0</v>
      </c>
      <c r="AG15" s="640"/>
      <c r="AH15" s="630"/>
      <c r="AI15" s="830" t="s">
        <v>196</v>
      </c>
      <c r="AJ15" s="603">
        <f t="shared" si="3"/>
        <v>0</v>
      </c>
      <c r="AK15" s="788">
        <f t="shared" si="4"/>
        <v>0</v>
      </c>
      <c r="AL15" s="12"/>
      <c r="AN15" s="11"/>
      <c r="AO15" s="11"/>
      <c r="AP15" s="11"/>
      <c r="AQ15" s="11"/>
      <c r="AR15" s="163"/>
      <c r="AS15" s="163"/>
      <c r="AW15" s="11"/>
      <c r="AX15" s="11"/>
      <c r="AY15" s="95"/>
      <c r="AZ15" s="66"/>
      <c r="BA15" s="66"/>
      <c r="BB15" s="66"/>
      <c r="BC15" s="11"/>
      <c r="BD15" s="11"/>
    </row>
    <row r="16" spans="2:56" ht="30" customHeight="1" x14ac:dyDescent="0.25">
      <c r="B16" s="15"/>
      <c r="C16" s="91">
        <v>6</v>
      </c>
      <c r="D16" s="620"/>
      <c r="E16" s="622"/>
      <c r="F16" s="648"/>
      <c r="G16" s="657"/>
      <c r="H16" s="627"/>
      <c r="I16" s="650"/>
      <c r="J16" s="635"/>
      <c r="K16" s="627"/>
      <c r="L16" s="627"/>
      <c r="M16" s="627"/>
      <c r="N16" s="627"/>
      <c r="O16" s="93">
        <f>+SUM(J16:N16)</f>
        <v>0</v>
      </c>
      <c r="P16" s="94">
        <f>+VLOOKUP($J$8,'16. Fatores de conversão'!$A$6:$I$14,6,FALSE)*J16+VLOOKUP($K$8,'16. Fatores de conversão'!$A$6:$I$14,6,FALSE)*K16+VLOOKUP($L$8,'16. Fatores de conversão'!$A$6:$I$14,6,FALSE)*L16+VLOOKUP($M$8,'16. Fatores de conversão'!$A$6:$I$14,6,FALSE)*M16+VLOOKUP($N$8,'16. Fatores de conversão'!$A$6:$I$14,6,FALSE)*N16</f>
        <v>0</v>
      </c>
      <c r="Q16" s="744">
        <f>+SUMPRODUCT('1. Identificação Ben. Oper.'!$D$56:$H$56,J16:N16)</f>
        <v>0</v>
      </c>
      <c r="R16" s="659"/>
      <c r="S16" s="637"/>
      <c r="T16" s="637"/>
      <c r="U16" s="637"/>
      <c r="V16" s="637"/>
      <c r="W16" s="93">
        <f>+SUM(R16:V16)</f>
        <v>0</v>
      </c>
      <c r="X16" s="603">
        <f>+SUMPRODUCT('1. Identificação Ben. Oper.'!$D$56:$H$56,R16:V16)</f>
        <v>0</v>
      </c>
      <c r="Y16" s="604">
        <f t="shared" ref="Y16:Y21" si="5">IF(O16=0,0,W16/O16)</f>
        <v>0</v>
      </c>
      <c r="Z16" s="94">
        <f>+VLOOKUP($R$8,'16. Fatores de conversão'!$A$6:$I$14,3,FALSE)*R16+VLOOKUP($S$8,'16. Fatores de conversão'!$A$6:$I$14,3,FALSE)*S16+VLOOKUP($T$8,'16. Fatores de conversão'!$A$6:$I$14,3,FALSE)*T16+VLOOKUP($U$8,'16. Fatores de conversão'!$A$6:$I$14,3,FALSE)*U16+VLOOKUP($V$8,'16. Fatores de conversão'!$A$6:$I$14,3,FALSE)*V16</f>
        <v>0</v>
      </c>
      <c r="AA16" s="94">
        <f>+VLOOKUP($R$8,'16. Fatores de conversão'!$A$6:$I$14,6,FALSE)*R16+VLOOKUP($S$8,'16. Fatores de conversão'!$A$6:$I$14,6,FALSE)*S16+VLOOKUP($T$8,'16. Fatores de conversão'!$A$6:$I$14,6,FALSE)*T16+VLOOKUP($U$8,'16. Fatores de conversão'!$A$6:$I$14,6,FALSE)*U16+VLOOKUP($V$8,'16. Fatores de conversão'!$A$6:$I$14,6,FALSE)*V16</f>
        <v>0</v>
      </c>
      <c r="AB16" s="94">
        <f>(VLOOKUP($R$8,'16. Fatores de conversão'!$A$6:$I$14,9,FALSE)*R16+VLOOKUP($S$8,'16. Fatores de conversão'!$A$6:$I$14,9,FALSE)*S16+VLOOKUP($T$8,'16. Fatores de conversão'!$A$6:$I$14,9,FALSE)*T16+VLOOKUP($U$8,'16. Fatores de conversão'!$A$6:$I$14,9,FALSE)*U16+VLOOKUP($V$8,'16. Fatores de conversão'!$A$6:$I$14,9,FALSE)*V16)/1000</f>
        <v>0</v>
      </c>
      <c r="AC16" s="630"/>
      <c r="AD16" s="630"/>
      <c r="AE16" s="638"/>
      <c r="AF16" s="796">
        <f>IF(OR(AD16="",AD16=0),0,IF(OR(AE16="",AE16=0),0,I16+1))</f>
        <v>0</v>
      </c>
      <c r="AG16" s="640"/>
      <c r="AH16" s="641"/>
      <c r="AI16" s="830" t="s">
        <v>196</v>
      </c>
      <c r="AJ16" s="603">
        <f>IF(AG16=0,0,IF(AG16&lt;(AI16),AG16+AH16,((AI16)+((AH16/AG16)*AI16))))</f>
        <v>0</v>
      </c>
      <c r="AK16" s="788">
        <f t="shared" si="4"/>
        <v>0</v>
      </c>
      <c r="AL16" s="12"/>
      <c r="AN16" s="11"/>
      <c r="AO16" s="11"/>
      <c r="AP16" s="11"/>
      <c r="AQ16" s="11"/>
      <c r="AR16" s="163"/>
      <c r="AS16" s="163"/>
      <c r="AW16" s="11"/>
      <c r="AX16" s="11"/>
      <c r="AY16" s="95"/>
      <c r="AZ16" s="66"/>
      <c r="BA16" s="66"/>
      <c r="BB16" s="66"/>
      <c r="BC16" s="11"/>
      <c r="BD16" s="11"/>
    </row>
    <row r="17" spans="2:56" ht="30" customHeight="1" x14ac:dyDescent="0.25">
      <c r="B17" s="15"/>
      <c r="C17" s="91">
        <v>7</v>
      </c>
      <c r="D17" s="620"/>
      <c r="E17" s="622"/>
      <c r="F17" s="648"/>
      <c r="G17" s="657"/>
      <c r="H17" s="627"/>
      <c r="I17" s="650"/>
      <c r="J17" s="635"/>
      <c r="K17" s="627"/>
      <c r="L17" s="627"/>
      <c r="M17" s="627"/>
      <c r="N17" s="627"/>
      <c r="O17" s="93">
        <f t="shared" ref="O17:O20" si="6">+SUM(J17:N17)</f>
        <v>0</v>
      </c>
      <c r="P17" s="94">
        <f>+VLOOKUP($J$8,'16. Fatores de conversão'!$A$6:$I$14,6,FALSE)*J17+VLOOKUP($K$8,'16. Fatores de conversão'!$A$6:$I$14,6,FALSE)*K17+VLOOKUP($L$8,'16. Fatores de conversão'!$A$6:$I$14,6,FALSE)*L17+VLOOKUP($M$8,'16. Fatores de conversão'!$A$6:$I$14,6,FALSE)*M17+VLOOKUP($N$8,'16. Fatores de conversão'!$A$6:$I$14,6,FALSE)*N17</f>
        <v>0</v>
      </c>
      <c r="Q17" s="744">
        <f>+SUMPRODUCT('1. Identificação Ben. Oper.'!$D$56:$H$56,J17:N17)</f>
        <v>0</v>
      </c>
      <c r="R17" s="659"/>
      <c r="S17" s="637"/>
      <c r="T17" s="637"/>
      <c r="U17" s="637"/>
      <c r="V17" s="637"/>
      <c r="W17" s="93">
        <f t="shared" ref="W17:W20" si="7">+SUM(R17:V17)</f>
        <v>0</v>
      </c>
      <c r="X17" s="603">
        <f>+SUMPRODUCT('1. Identificação Ben. Oper.'!$D$56:$H$56,R17:V17)</f>
        <v>0</v>
      </c>
      <c r="Y17" s="604">
        <f t="shared" si="5"/>
        <v>0</v>
      </c>
      <c r="Z17" s="94">
        <f>+VLOOKUP($R$8,'16. Fatores de conversão'!$A$6:$I$14,3,FALSE)*R17+VLOOKUP($S$8,'16. Fatores de conversão'!$A$6:$I$14,3,FALSE)*S17+VLOOKUP($T$8,'16. Fatores de conversão'!$A$6:$I$14,3,FALSE)*T17+VLOOKUP($U$8,'16. Fatores de conversão'!$A$6:$I$14,3,FALSE)*U17+VLOOKUP($V$8,'16. Fatores de conversão'!$A$6:$I$14,3,FALSE)*V17</f>
        <v>0</v>
      </c>
      <c r="AA17" s="94">
        <f>+VLOOKUP($R$8,'16. Fatores de conversão'!$A$6:$I$14,6,FALSE)*R17+VLOOKUP($S$8,'16. Fatores de conversão'!$A$6:$I$14,6,FALSE)*S17+VLOOKUP($T$8,'16. Fatores de conversão'!$A$6:$I$14,6,FALSE)*T17+VLOOKUP($U$8,'16. Fatores de conversão'!$A$6:$I$14,6,FALSE)*U17+VLOOKUP($V$8,'16. Fatores de conversão'!$A$6:$I$14,6,FALSE)*V17</f>
        <v>0</v>
      </c>
      <c r="AB17" s="94">
        <f>(VLOOKUP($R$8,'16. Fatores de conversão'!$A$6:$I$14,9,FALSE)*R17+VLOOKUP($S$8,'16. Fatores de conversão'!$A$6:$I$14,9,FALSE)*S17+VLOOKUP($T$8,'16. Fatores de conversão'!$A$6:$I$14,9,FALSE)*T17+VLOOKUP($U$8,'16. Fatores de conversão'!$A$6:$I$14,9,FALSE)*U17+VLOOKUP($V$8,'16. Fatores de conversão'!$A$6:$I$14,9,FALSE)*V17)/1000</f>
        <v>0</v>
      </c>
      <c r="AC17" s="630"/>
      <c r="AD17" s="630"/>
      <c r="AE17" s="638"/>
      <c r="AF17" s="796">
        <f>IF(OR(AD17="",AD17=0),0,IF(OR(AE17="",AE17=0),0,I17+1))</f>
        <v>0</v>
      </c>
      <c r="AG17" s="640"/>
      <c r="AH17" s="641"/>
      <c r="AI17" s="830" t="s">
        <v>196</v>
      </c>
      <c r="AJ17" s="603">
        <f t="shared" si="3"/>
        <v>0</v>
      </c>
      <c r="AK17" s="788">
        <f t="shared" si="4"/>
        <v>0</v>
      </c>
      <c r="AL17" s="12"/>
      <c r="AN17" s="11"/>
      <c r="AO17" s="11"/>
      <c r="AP17" s="11"/>
      <c r="AQ17" s="11"/>
      <c r="AR17" s="163"/>
      <c r="AS17" s="163"/>
      <c r="AW17" s="11"/>
      <c r="AX17" s="11"/>
      <c r="AY17" s="95"/>
      <c r="AZ17" s="66"/>
      <c r="BA17" s="66"/>
      <c r="BB17" s="66"/>
      <c r="BC17" s="11"/>
      <c r="BD17" s="11"/>
    </row>
    <row r="18" spans="2:56" ht="30" customHeight="1" x14ac:dyDescent="0.3">
      <c r="B18" s="15"/>
      <c r="C18" s="989" t="s">
        <v>472</v>
      </c>
      <c r="D18" s="990"/>
      <c r="E18" s="990"/>
      <c r="F18" s="88"/>
      <c r="G18" s="88"/>
      <c r="H18" s="88"/>
      <c r="I18" s="88"/>
      <c r="J18" s="413"/>
      <c r="K18" s="369"/>
      <c r="L18" s="369"/>
      <c r="M18" s="369"/>
      <c r="N18" s="369"/>
      <c r="O18" s="88"/>
      <c r="P18" s="88"/>
      <c r="Q18" s="90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90"/>
      <c r="AG18" s="89"/>
      <c r="AH18" s="88"/>
      <c r="AI18" s="96"/>
      <c r="AJ18" s="88"/>
      <c r="AK18" s="90"/>
      <c r="AL18" s="12"/>
      <c r="AN18" s="11"/>
      <c r="AO18" s="11"/>
      <c r="AP18" s="11"/>
      <c r="AQ18" s="11"/>
      <c r="AR18" s="163"/>
      <c r="AS18" s="163"/>
      <c r="AW18" s="11"/>
      <c r="AX18" s="11"/>
      <c r="AY18" s="95"/>
      <c r="AZ18" s="66"/>
      <c r="BA18" s="66"/>
      <c r="BB18" s="66"/>
      <c r="BC18" s="11"/>
      <c r="BD18" s="11"/>
    </row>
    <row r="19" spans="2:56" ht="30" customHeight="1" x14ac:dyDescent="0.25">
      <c r="B19" s="15"/>
      <c r="C19" s="91">
        <v>8</v>
      </c>
      <c r="D19" s="633"/>
      <c r="E19" s="622"/>
      <c r="F19" s="648"/>
      <c r="G19" s="657"/>
      <c r="H19" s="627"/>
      <c r="I19" s="650"/>
      <c r="J19" s="635"/>
      <c r="K19" s="627"/>
      <c r="L19" s="627"/>
      <c r="M19" s="627"/>
      <c r="N19" s="627"/>
      <c r="O19" s="93">
        <f t="shared" si="6"/>
        <v>0</v>
      </c>
      <c r="P19" s="94">
        <f>+VLOOKUP($J$8,'16. Fatores de conversão'!$A$6:$I$14,6,FALSE)*J19+VLOOKUP($K$8,'16. Fatores de conversão'!$A$6:$I$14,6,FALSE)*K19+VLOOKUP($L$8,'16. Fatores de conversão'!$A$6:$I$14,6,FALSE)*L19+VLOOKUP($M$8,'16. Fatores de conversão'!$A$6:$I$14,6,FALSE)*M19+VLOOKUP($N$8,'16. Fatores de conversão'!$A$6:$I$14,6,FALSE)*N19</f>
        <v>0</v>
      </c>
      <c r="Q19" s="744">
        <f>+SUMPRODUCT('1. Identificação Ben. Oper.'!$D$56:$H$56,J19:N19)</f>
        <v>0</v>
      </c>
      <c r="R19" s="660"/>
      <c r="S19" s="627"/>
      <c r="T19" s="627"/>
      <c r="U19" s="637"/>
      <c r="V19" s="637"/>
      <c r="W19" s="93">
        <f t="shared" si="7"/>
        <v>0</v>
      </c>
      <c r="X19" s="603">
        <f>+SUMPRODUCT('1. Identificação Ben. Oper.'!$D$56:$H$56,R19:V19)</f>
        <v>0</v>
      </c>
      <c r="Y19" s="604">
        <f t="shared" si="5"/>
        <v>0</v>
      </c>
      <c r="Z19" s="94">
        <f>+VLOOKUP($R$8,'16. Fatores de conversão'!$A$6:$I$14,3,FALSE)*R19+VLOOKUP($S$8,'16. Fatores de conversão'!$A$6:$I$14,3,FALSE)*S19+VLOOKUP($T$8,'16. Fatores de conversão'!$A$6:$I$14,3,FALSE)*T19+VLOOKUP($U$8,'16. Fatores de conversão'!$A$6:$I$14,3,FALSE)*U19+VLOOKUP($V$8,'16. Fatores de conversão'!$A$6:$I$14,3,FALSE)*V19</f>
        <v>0</v>
      </c>
      <c r="AA19" s="94">
        <f>+VLOOKUP($R$8,'16. Fatores de conversão'!$A$6:$I$14,6,FALSE)*R19+VLOOKUP($S$8,'16. Fatores de conversão'!$A$6:$I$14,6,FALSE)*S19+VLOOKUP($T$8,'16. Fatores de conversão'!$A$6:$I$14,6,FALSE)*T19+VLOOKUP($U$8,'16. Fatores de conversão'!$A$6:$I$14,6,FALSE)*U19+VLOOKUP($V$8,'16. Fatores de conversão'!$A$6:$I$14,6,FALSE)*V19</f>
        <v>0</v>
      </c>
      <c r="AB19" s="94">
        <f>(VLOOKUP($R$8,'16. Fatores de conversão'!$A$6:$I$14,9,FALSE)*R19+VLOOKUP($S$8,'16. Fatores de conversão'!$A$6:$I$14,9,FALSE)*S19+VLOOKUP($T$8,'16. Fatores de conversão'!$A$6:$I$14,9,FALSE)*T19+VLOOKUP($U$8,'16. Fatores de conversão'!$A$6:$I$14,9,FALSE)*U19+VLOOKUP($V$8,'16. Fatores de conversão'!$A$6:$I$14,9,FALSE)*V19)/1000</f>
        <v>0</v>
      </c>
      <c r="AC19" s="630"/>
      <c r="AD19" s="630"/>
      <c r="AE19" s="638"/>
      <c r="AF19" s="796">
        <f>IF(OR(AD19="",AD19=0),0,IF(OR(AE19="",AE19=0),0,I19+1))</f>
        <v>0</v>
      </c>
      <c r="AG19" s="640"/>
      <c r="AH19" s="641"/>
      <c r="AI19" s="830" t="s">
        <v>196</v>
      </c>
      <c r="AJ19" s="603">
        <f t="shared" si="3"/>
        <v>0</v>
      </c>
      <c r="AK19" s="788">
        <f t="shared" si="4"/>
        <v>0</v>
      </c>
      <c r="AL19" s="12"/>
      <c r="AN19" s="11"/>
      <c r="AO19" s="11"/>
      <c r="AP19" s="11"/>
      <c r="AQ19" s="11"/>
      <c r="AR19" s="163"/>
      <c r="AS19" s="163"/>
      <c r="AW19" s="11"/>
      <c r="AX19" s="11"/>
      <c r="AY19" s="95"/>
      <c r="AZ19" s="66"/>
      <c r="BA19" s="66"/>
      <c r="BB19" s="66"/>
      <c r="BC19" s="11"/>
      <c r="BD19" s="11"/>
    </row>
    <row r="20" spans="2:56" ht="30" customHeight="1" thickBot="1" x14ac:dyDescent="0.3">
      <c r="B20" s="15"/>
      <c r="C20" s="97">
        <v>9</v>
      </c>
      <c r="D20" s="662"/>
      <c r="E20" s="651"/>
      <c r="F20" s="652"/>
      <c r="G20" s="663"/>
      <c r="H20" s="647"/>
      <c r="I20" s="653"/>
      <c r="J20" s="654"/>
      <c r="K20" s="647"/>
      <c r="L20" s="647"/>
      <c r="M20" s="647"/>
      <c r="N20" s="647"/>
      <c r="O20" s="98">
        <f t="shared" si="6"/>
        <v>0</v>
      </c>
      <c r="P20" s="611">
        <f>+VLOOKUP($J$8,'16. Fatores de conversão'!$A$6:$I$14,6,FALSE)*J20+VLOOKUP($K$8,'16. Fatores de conversão'!$A$6:$I$14,6,FALSE)*K20+VLOOKUP($L$8,'16. Fatores de conversão'!$A$6:$I$14,6,FALSE)*L20+VLOOKUP($M$8,'16. Fatores de conversão'!$A$6:$I$14,6,FALSE)*M20+VLOOKUP($N$8,'16. Fatores de conversão'!$A$6:$I$14,6,FALSE)*N20</f>
        <v>0</v>
      </c>
      <c r="Q20" s="745">
        <f>+SUMPRODUCT('1. Identificação Ben. Oper.'!$D$56:$H$56,J20:N20)</f>
        <v>0</v>
      </c>
      <c r="R20" s="661"/>
      <c r="S20" s="656"/>
      <c r="T20" s="656"/>
      <c r="U20" s="656"/>
      <c r="V20" s="656"/>
      <c r="W20" s="98">
        <f t="shared" si="7"/>
        <v>0</v>
      </c>
      <c r="X20" s="603">
        <f>+SUMPRODUCT('1. Identificação Ben. Oper.'!$D$56:$H$56,R20:V20)</f>
        <v>0</v>
      </c>
      <c r="Y20" s="604">
        <f t="shared" si="5"/>
        <v>0</v>
      </c>
      <c r="Z20" s="94">
        <f>+VLOOKUP($R$8,'16. Fatores de conversão'!$A$6:$I$14,3,FALSE)*R20+VLOOKUP($S$8,'16. Fatores de conversão'!$A$6:$I$14,3,FALSE)*S20+VLOOKUP($T$8,'16. Fatores de conversão'!$A$6:$I$14,3,FALSE)*T20+VLOOKUP($U$8,'16. Fatores de conversão'!$A$6:$I$14,3,FALSE)*U20+VLOOKUP($V$8,'16. Fatores de conversão'!$A$6:$I$14,3,FALSE)*V20</f>
        <v>0</v>
      </c>
      <c r="AA20" s="94">
        <f>+VLOOKUP($R$8,'16. Fatores de conversão'!$A$6:$I$14,6,FALSE)*R20+VLOOKUP($S$8,'16. Fatores de conversão'!$A$6:$I$14,6,FALSE)*S20+VLOOKUP($T$8,'16. Fatores de conversão'!$A$6:$I$14,6,FALSE)*T20+VLOOKUP($U$8,'16. Fatores de conversão'!$A$6:$I$14,6,FALSE)*U20+VLOOKUP($V$8,'16. Fatores de conversão'!$A$6:$I$14,6,FALSE)*V20</f>
        <v>0</v>
      </c>
      <c r="AB20" s="94">
        <f>(VLOOKUP($R$8,'16. Fatores de conversão'!$A$6:$I$14,9,FALSE)*R20+VLOOKUP($S$8,'16. Fatores de conversão'!$A$6:$I$14,9,FALSE)*S20+VLOOKUP($T$8,'16. Fatores de conversão'!$A$6:$I$14,9,FALSE)*T20+VLOOKUP($U$8,'16. Fatores de conversão'!$A$6:$I$14,9,FALSE)*U20+VLOOKUP($V$8,'16. Fatores de conversão'!$A$6:$I$14,9,FALSE)*V20)/1000</f>
        <v>0</v>
      </c>
      <c r="AC20" s="649"/>
      <c r="AD20" s="649"/>
      <c r="AE20" s="638"/>
      <c r="AF20" s="796">
        <f>IF(OR(AD20="",AD20=0),0,IF(OR(AE20="",AE20=0),0,I20+1))</f>
        <v>0</v>
      </c>
      <c r="AG20" s="642"/>
      <c r="AH20" s="643"/>
      <c r="AI20" s="830" t="s">
        <v>196</v>
      </c>
      <c r="AJ20" s="789">
        <f t="shared" si="3"/>
        <v>0</v>
      </c>
      <c r="AK20" s="788">
        <f t="shared" si="4"/>
        <v>0</v>
      </c>
      <c r="AL20" s="12"/>
      <c r="AN20" s="11"/>
      <c r="AO20" s="11"/>
      <c r="AP20" s="11"/>
      <c r="AQ20" s="11"/>
      <c r="AR20" s="163"/>
      <c r="AS20" s="163"/>
      <c r="AW20" s="11"/>
      <c r="AX20" s="11"/>
      <c r="AY20" s="95"/>
      <c r="AZ20" s="66"/>
      <c r="BA20" s="66"/>
      <c r="BB20" s="66"/>
      <c r="BC20" s="11"/>
      <c r="BD20" s="11"/>
    </row>
    <row r="21" spans="2:56" ht="15.75" thickBot="1" x14ac:dyDescent="0.3">
      <c r="B21" s="15"/>
      <c r="C21" s="21"/>
      <c r="D21" s="11"/>
      <c r="E21" s="11"/>
      <c r="F21" s="11"/>
      <c r="G21" s="11"/>
      <c r="H21" s="11"/>
      <c r="I21" s="11"/>
      <c r="J21" s="778">
        <f t="shared" ref="J21:X21" si="8">SUM(J10:J20)</f>
        <v>0</v>
      </c>
      <c r="K21" s="779">
        <f t="shared" si="8"/>
        <v>0</v>
      </c>
      <c r="L21" s="779">
        <f t="shared" si="8"/>
        <v>0</v>
      </c>
      <c r="M21" s="779">
        <f t="shared" si="8"/>
        <v>0</v>
      </c>
      <c r="N21" s="779">
        <f t="shared" si="8"/>
        <v>0</v>
      </c>
      <c r="O21" s="779">
        <f t="shared" si="8"/>
        <v>0</v>
      </c>
      <c r="P21" s="780">
        <f t="shared" si="8"/>
        <v>0</v>
      </c>
      <c r="Q21" s="781">
        <f t="shared" si="8"/>
        <v>0</v>
      </c>
      <c r="R21" s="778">
        <f t="shared" si="8"/>
        <v>0</v>
      </c>
      <c r="S21" s="779">
        <f t="shared" si="8"/>
        <v>0</v>
      </c>
      <c r="T21" s="779">
        <f t="shared" si="8"/>
        <v>0</v>
      </c>
      <c r="U21" s="779">
        <f t="shared" si="8"/>
        <v>0</v>
      </c>
      <c r="V21" s="779">
        <f t="shared" si="8"/>
        <v>0</v>
      </c>
      <c r="W21" s="779">
        <f t="shared" si="8"/>
        <v>0</v>
      </c>
      <c r="X21" s="782">
        <f t="shared" si="8"/>
        <v>0</v>
      </c>
      <c r="Y21" s="783">
        <f t="shared" si="5"/>
        <v>0</v>
      </c>
      <c r="Z21" s="784">
        <f>SUM(Z10:Z20)</f>
        <v>0</v>
      </c>
      <c r="AA21" s="784">
        <f>SUM(AA10:AA20)</f>
        <v>0</v>
      </c>
      <c r="AB21" s="784">
        <f>SUM(AB10:AB20)</f>
        <v>0</v>
      </c>
      <c r="AC21" s="782">
        <f>SUM(AC10:AC20)</f>
        <v>0</v>
      </c>
      <c r="AD21" s="785">
        <f>SUM(AD10:AD20)</f>
        <v>0</v>
      </c>
      <c r="AE21" s="415"/>
      <c r="AF21" s="416"/>
      <c r="AG21" s="786">
        <f>SUM(AG10:AG20)</f>
        <v>0</v>
      </c>
      <c r="AH21" s="782">
        <f>SUM(AH10:AH20)</f>
        <v>0</v>
      </c>
      <c r="AI21" s="782">
        <f>SUM(AI10:AI20)</f>
        <v>0</v>
      </c>
      <c r="AJ21" s="782">
        <f>SUM(AJ10:AJ20)</f>
        <v>0</v>
      </c>
      <c r="AK21" s="787">
        <f t="shared" si="4"/>
        <v>0</v>
      </c>
      <c r="AL21" s="12"/>
      <c r="AN21" s="11"/>
      <c r="AO21" s="11"/>
      <c r="AP21" s="11"/>
      <c r="AQ21" s="11"/>
      <c r="AR21" s="163"/>
      <c r="AS21" s="163"/>
      <c r="AW21" s="11"/>
      <c r="AX21" s="36"/>
      <c r="AY21" s="95"/>
      <c r="AZ21" s="66"/>
      <c r="BA21" s="66"/>
      <c r="BB21" s="66"/>
      <c r="BC21" s="11"/>
      <c r="BD21" s="11"/>
    </row>
    <row r="22" spans="2:56" s="1" customFormat="1" ht="30" customHeight="1" thickBot="1" x14ac:dyDescent="0.35">
      <c r="B22" s="9"/>
      <c r="C22" s="972" t="s">
        <v>210</v>
      </c>
      <c r="D22" s="973"/>
      <c r="E22" s="775">
        <f>AG21+AH21</f>
        <v>0</v>
      </c>
      <c r="F22" s="21"/>
      <c r="G22" s="21"/>
      <c r="H22" s="21"/>
      <c r="I22" s="21"/>
      <c r="J22" s="21"/>
      <c r="K22" s="21"/>
      <c r="L22" s="21"/>
      <c r="M22" s="60"/>
      <c r="N22" s="60"/>
      <c r="O22" s="99"/>
      <c r="P22" s="20"/>
      <c r="Q22" s="20"/>
      <c r="R22" s="596" t="str">
        <f>IF(OR(R8="Madeira/Resíduos de Madeira",R8="Peletes/Briquetes de Madeira"),R19+R20,"")</f>
        <v/>
      </c>
      <c r="S22" s="596" t="str">
        <f t="shared" ref="S22:V22" si="9">IF(OR(S8="Madeira/Resíduos de Madeira",S8="Peletes/Briquetes de Madeira"),S19+S20,"")</f>
        <v/>
      </c>
      <c r="T22" s="596" t="str">
        <f t="shared" si="9"/>
        <v/>
      </c>
      <c r="U22" s="596" t="str">
        <f t="shared" si="9"/>
        <v/>
      </c>
      <c r="V22" s="596" t="str">
        <f t="shared" si="9"/>
        <v/>
      </c>
      <c r="W22" s="606">
        <f>SUM(R22:V22)</f>
        <v>0</v>
      </c>
      <c r="X22" s="60"/>
      <c r="Y22" s="60"/>
      <c r="Z22" s="60"/>
      <c r="AB22" s="60"/>
      <c r="AC22" s="99"/>
      <c r="AD22" s="60"/>
      <c r="AE22" s="21"/>
      <c r="AF22" s="21"/>
      <c r="AG22" s="21"/>
      <c r="AH22" s="21"/>
      <c r="AI22" s="21"/>
      <c r="AJ22" s="21"/>
      <c r="AL22" s="12"/>
      <c r="AP22" s="21"/>
      <c r="AQ22" s="163"/>
      <c r="AR22" s="163"/>
      <c r="AS22" s="66"/>
      <c r="AT22" s="66"/>
      <c r="AU22" s="66"/>
      <c r="AV22" s="21"/>
      <c r="AW22" s="21"/>
    </row>
    <row r="23" spans="2:56" ht="30" customHeight="1" thickBot="1" x14ac:dyDescent="0.35">
      <c r="B23" s="15"/>
      <c r="C23" s="972" t="s">
        <v>133</v>
      </c>
      <c r="D23" s="973"/>
      <c r="E23" s="775">
        <f>AJ21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20" t="str">
        <f t="shared" ref="R23:T23" si="10">IF(OR(R9="Madeira/Resíduos de Madeira",R9="Peletes/Briquetes de Madeira"),R20+R21,"")</f>
        <v/>
      </c>
      <c r="S23" s="20" t="str">
        <f t="shared" si="10"/>
        <v/>
      </c>
      <c r="T23" s="20" t="str">
        <f t="shared" si="10"/>
        <v/>
      </c>
      <c r="U23" s="20" t="str">
        <f t="shared" ref="U23:V23" si="11">IF(OR(U9="Madeira/Resíduos de Madeira",U9="Peletes/Briquetes de Madeira"),U20+U21,"")</f>
        <v/>
      </c>
      <c r="V23" s="20" t="str">
        <f t="shared" si="11"/>
        <v/>
      </c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46"/>
      <c r="AJ23" s="146"/>
      <c r="AL23" s="12"/>
      <c r="AN23" s="11"/>
      <c r="AO23" s="11"/>
      <c r="AP23" s="95"/>
      <c r="AQ23" s="163"/>
      <c r="AR23" s="163"/>
      <c r="AS23" s="66"/>
      <c r="AT23" s="11"/>
      <c r="AU23" s="11"/>
    </row>
    <row r="24" spans="2:56" x14ac:dyDescent="0.3">
      <c r="B24" s="15"/>
      <c r="C24" s="2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66"/>
      <c r="AH24" s="66"/>
      <c r="AI24" s="146"/>
      <c r="AJ24" s="146"/>
      <c r="AL24" s="12"/>
      <c r="AN24" s="11"/>
      <c r="AO24" s="11"/>
      <c r="AP24" s="95"/>
      <c r="AQ24" s="163"/>
      <c r="AR24" s="163"/>
      <c r="AS24" s="66"/>
      <c r="AT24" s="11"/>
      <c r="AU24" s="11"/>
    </row>
    <row r="25" spans="2:56" ht="15" thickBot="1" x14ac:dyDescent="0.35">
      <c r="B25" s="15"/>
      <c r="C25" s="2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66"/>
      <c r="AH25" s="66"/>
      <c r="AI25" s="146"/>
      <c r="AJ25" s="146"/>
      <c r="AL25" s="12"/>
      <c r="AN25" s="11"/>
      <c r="AO25" s="11"/>
      <c r="AP25" s="95"/>
      <c r="AQ25" s="163"/>
      <c r="AR25" s="163"/>
      <c r="AS25" s="66"/>
      <c r="AT25" s="11"/>
      <c r="AU25" s="11"/>
    </row>
    <row r="26" spans="2:56" ht="56.25" customHeight="1" thickBot="1" x14ac:dyDescent="0.35">
      <c r="B26" s="15"/>
      <c r="C26" s="101" t="s">
        <v>51</v>
      </c>
      <c r="D26" s="102"/>
      <c r="E26" s="102"/>
      <c r="F26" s="102"/>
      <c r="G26" s="102"/>
      <c r="H26" s="102"/>
      <c r="I26" s="974" t="s">
        <v>374</v>
      </c>
      <c r="J26" s="975"/>
      <c r="K26" s="976"/>
      <c r="L26" s="976"/>
      <c r="M26" s="976"/>
      <c r="N26" s="976"/>
      <c r="O26" s="976"/>
      <c r="P26" s="976"/>
      <c r="Q26" s="976"/>
      <c r="R26" s="976"/>
      <c r="S26" s="976"/>
      <c r="T26" s="976"/>
      <c r="U26" s="976"/>
      <c r="V26" s="976"/>
      <c r="W26" s="976"/>
      <c r="X26" s="976"/>
      <c r="Y26" s="976"/>
      <c r="Z26" s="976"/>
      <c r="AA26" s="976"/>
      <c r="AB26" s="976"/>
      <c r="AC26" s="976"/>
      <c r="AD26" s="976"/>
      <c r="AE26" s="976"/>
      <c r="AF26" s="976"/>
      <c r="AG26" s="976"/>
      <c r="AH26" s="977"/>
      <c r="AI26" s="146"/>
      <c r="AJ26" s="146"/>
      <c r="AL26" s="12"/>
      <c r="AN26" s="11"/>
      <c r="AO26" s="11"/>
      <c r="AP26" s="95"/>
      <c r="AQ26" s="163"/>
      <c r="AR26" s="163"/>
      <c r="AS26" s="66"/>
      <c r="AT26" s="11"/>
      <c r="AU26" s="11"/>
    </row>
    <row r="27" spans="2:56" ht="15" thickBot="1" x14ac:dyDescent="0.35">
      <c r="B27" s="15"/>
      <c r="C27" s="103"/>
      <c r="D27" s="104"/>
      <c r="E27" s="104"/>
      <c r="F27" s="104"/>
      <c r="G27" s="105"/>
      <c r="H27" s="104"/>
      <c r="I27" s="997" t="s">
        <v>25</v>
      </c>
      <c r="J27" s="998"/>
      <c r="K27" s="998"/>
      <c r="L27" s="998"/>
      <c r="M27" s="998"/>
      <c r="N27" s="998"/>
      <c r="O27" s="998"/>
      <c r="P27" s="998"/>
      <c r="Q27" s="998"/>
      <c r="R27" s="998"/>
      <c r="S27" s="998"/>
      <c r="T27" s="998"/>
      <c r="U27" s="998"/>
      <c r="V27" s="998"/>
      <c r="W27" s="998"/>
      <c r="X27" s="998"/>
      <c r="Y27" s="998"/>
      <c r="Z27" s="998"/>
      <c r="AA27" s="998"/>
      <c r="AB27" s="998"/>
      <c r="AC27" s="998"/>
      <c r="AD27" s="998"/>
      <c r="AE27" s="998"/>
      <c r="AF27" s="998"/>
      <c r="AG27" s="999"/>
      <c r="AH27" s="124"/>
      <c r="AI27" s="146"/>
      <c r="AJ27" s="146"/>
      <c r="AL27" s="12"/>
      <c r="AN27" s="11"/>
      <c r="AO27" s="11"/>
      <c r="AP27" s="11"/>
      <c r="AQ27" s="163"/>
      <c r="AR27" s="163"/>
      <c r="AS27" s="66"/>
      <c r="AT27" s="11"/>
      <c r="AU27" s="11"/>
    </row>
    <row r="28" spans="2:56" ht="28.5" customHeight="1" thickBot="1" x14ac:dyDescent="0.35">
      <c r="B28" s="15"/>
      <c r="C28" s="107" t="s">
        <v>52</v>
      </c>
      <c r="D28" s="108" t="s">
        <v>185</v>
      </c>
      <c r="E28" s="108" t="s">
        <v>184</v>
      </c>
      <c r="F28" s="108" t="s">
        <v>190</v>
      </c>
      <c r="G28" s="971" t="s">
        <v>121</v>
      </c>
      <c r="H28" s="971"/>
      <c r="I28" s="294">
        <v>1</v>
      </c>
      <c r="J28" s="294">
        <v>2</v>
      </c>
      <c r="K28" s="294">
        <v>3</v>
      </c>
      <c r="L28" s="294">
        <v>4</v>
      </c>
      <c r="M28" s="294">
        <v>5</v>
      </c>
      <c r="N28" s="294">
        <v>6</v>
      </c>
      <c r="O28" s="294">
        <v>7</v>
      </c>
      <c r="P28" s="294">
        <v>8</v>
      </c>
      <c r="Q28" s="294">
        <v>9</v>
      </c>
      <c r="R28" s="294">
        <v>10</v>
      </c>
      <c r="S28" s="294">
        <v>11</v>
      </c>
      <c r="T28" s="294">
        <v>12</v>
      </c>
      <c r="U28" s="294">
        <v>13</v>
      </c>
      <c r="V28" s="294">
        <v>14</v>
      </c>
      <c r="W28" s="294">
        <v>15</v>
      </c>
      <c r="X28" s="294">
        <v>16</v>
      </c>
      <c r="Y28" s="294">
        <v>17</v>
      </c>
      <c r="Z28" s="294">
        <v>18</v>
      </c>
      <c r="AA28" s="294">
        <v>19</v>
      </c>
      <c r="AB28" s="294">
        <v>20</v>
      </c>
      <c r="AC28" s="294">
        <v>21</v>
      </c>
      <c r="AD28" s="294">
        <v>22</v>
      </c>
      <c r="AE28" s="294">
        <v>23</v>
      </c>
      <c r="AF28" s="294">
        <v>24</v>
      </c>
      <c r="AG28" s="294">
        <v>25</v>
      </c>
      <c r="AH28" s="110" t="s">
        <v>53</v>
      </c>
      <c r="AI28" s="317"/>
      <c r="AJ28" s="13" t="s">
        <v>234</v>
      </c>
      <c r="AK28" s="13" t="s">
        <v>233</v>
      </c>
      <c r="AL28" s="12"/>
      <c r="AN28" s="11"/>
      <c r="AO28" s="11"/>
      <c r="AP28" s="11"/>
      <c r="AQ28" s="163"/>
      <c r="AR28" s="163"/>
      <c r="AS28" s="11"/>
      <c r="AT28" s="11"/>
      <c r="AU28" s="11"/>
    </row>
    <row r="29" spans="2:56" ht="15" thickBot="1" x14ac:dyDescent="0.35">
      <c r="B29" s="15"/>
      <c r="C29" s="111">
        <f>C10</f>
        <v>1</v>
      </c>
      <c r="D29" s="112">
        <f>X10</f>
        <v>0</v>
      </c>
      <c r="E29" s="112">
        <f t="shared" ref="E29:F32" si="12">AC10</f>
        <v>0</v>
      </c>
      <c r="F29" s="112">
        <f t="shared" si="12"/>
        <v>0</v>
      </c>
      <c r="G29" s="112">
        <f>IF(D29="",0,D29-E29)</f>
        <v>0</v>
      </c>
      <c r="H29" s="113"/>
      <c r="I29" s="114">
        <f>IF($I10&gt;=25,$G29,IF(I$28&lt;=$I10,$G29,IF(I$28&lt;=($I10*($AE10+1)),$G29,0)))-IF($I10="",0,IF(I$28-1&lt;=($I10*$AE10),$F29,0))*IF(OR($AF10=0,$AF10&gt;25),0,IF(MOD(I$28,$I10)=0,1,0))</f>
        <v>0</v>
      </c>
      <c r="J29" s="114">
        <f t="shared" ref="J29:AG29" si="13">IF($I10&gt;=25,$G29,IF(J$28&lt;=$I10,$G29,IF(J$28&lt;=($I10*($AE10+1)),$G29,0)))-IF($I10="",0,IF(J$28-1&lt;=($I10*$AE10),$F29,0))*IF(OR($AF10=0,$AF10&gt;25),0,IF(MOD(J$28-1,$I10)=0,1,0))</f>
        <v>0</v>
      </c>
      <c r="K29" s="114">
        <f t="shared" si="13"/>
        <v>0</v>
      </c>
      <c r="L29" s="114">
        <f t="shared" si="13"/>
        <v>0</v>
      </c>
      <c r="M29" s="114">
        <f t="shared" si="13"/>
        <v>0</v>
      </c>
      <c r="N29" s="114">
        <f t="shared" si="13"/>
        <v>0</v>
      </c>
      <c r="O29" s="114">
        <f t="shared" si="13"/>
        <v>0</v>
      </c>
      <c r="P29" s="114">
        <f t="shared" si="13"/>
        <v>0</v>
      </c>
      <c r="Q29" s="114">
        <f t="shared" si="13"/>
        <v>0</v>
      </c>
      <c r="R29" s="114">
        <f t="shared" si="13"/>
        <v>0</v>
      </c>
      <c r="S29" s="114">
        <f t="shared" si="13"/>
        <v>0</v>
      </c>
      <c r="T29" s="114">
        <f t="shared" si="13"/>
        <v>0</v>
      </c>
      <c r="U29" s="114">
        <f t="shared" si="13"/>
        <v>0</v>
      </c>
      <c r="V29" s="114">
        <f t="shared" si="13"/>
        <v>0</v>
      </c>
      <c r="W29" s="114">
        <f t="shared" si="13"/>
        <v>0</v>
      </c>
      <c r="X29" s="114">
        <f t="shared" si="13"/>
        <v>0</v>
      </c>
      <c r="Y29" s="114">
        <f t="shared" si="13"/>
        <v>0</v>
      </c>
      <c r="Z29" s="114">
        <f t="shared" si="13"/>
        <v>0</v>
      </c>
      <c r="AA29" s="114">
        <f t="shared" si="13"/>
        <v>0</v>
      </c>
      <c r="AB29" s="114">
        <f t="shared" si="13"/>
        <v>0</v>
      </c>
      <c r="AC29" s="114">
        <f t="shared" si="13"/>
        <v>0</v>
      </c>
      <c r="AD29" s="114">
        <f t="shared" si="13"/>
        <v>0</v>
      </c>
      <c r="AE29" s="114">
        <f t="shared" si="13"/>
        <v>0</v>
      </c>
      <c r="AF29" s="114">
        <f t="shared" si="13"/>
        <v>0</v>
      </c>
      <c r="AG29" s="114">
        <f t="shared" si="13"/>
        <v>0</v>
      </c>
      <c r="AH29" s="115">
        <f t="shared" ref="AH29:AH37" si="14">SUM(I29:AG29)</f>
        <v>0</v>
      </c>
      <c r="AI29" s="317">
        <v>1</v>
      </c>
      <c r="AJ29" s="318"/>
      <c r="AK29" s="13"/>
      <c r="AL29" s="12"/>
      <c r="AQ29" s="163"/>
      <c r="AR29" s="163"/>
    </row>
    <row r="30" spans="2:56" ht="15" thickBot="1" x14ac:dyDescent="0.35">
      <c r="B30" s="15"/>
      <c r="C30" s="111">
        <f>C11</f>
        <v>2</v>
      </c>
      <c r="D30" s="112">
        <f>X11</f>
        <v>0</v>
      </c>
      <c r="E30" s="112">
        <f t="shared" si="12"/>
        <v>0</v>
      </c>
      <c r="F30" s="112">
        <f t="shared" si="12"/>
        <v>0</v>
      </c>
      <c r="G30" s="112">
        <f t="shared" ref="G30:G37" si="15">IF(D30="",0,D30-E30)</f>
        <v>0</v>
      </c>
      <c r="H30" s="116"/>
      <c r="I30" s="114">
        <f>IF($I11&gt;=25,$G30,IF(I$28&lt;=$I11,$G30,IF(I$28&lt;=($I11*($AE11+1)),$G30,0)))-IF($I11="",0,IF(I$28-1&lt;=($I11*$AE11),$F30,0))*IF(OR($AF11=0,$AF11&gt;25),0,IF(MOD(I$28,$I11)=0,1,0))</f>
        <v>0</v>
      </c>
      <c r="J30" s="114">
        <f t="shared" ref="J30:AG30" si="16">IF($I11&gt;=25,$G30,IF(J$28&lt;=$I11,$G30,IF(J$28&lt;=($I11*($AE11+1)),$G30,0)))-IF($I11="",0,IF(J$28-1&lt;=($I11*$AE11),$F30,0))*IF(OR($AF11=0,$AF11&gt;25),0,IF(MOD(J$28-1,$I11)=0,1,0))</f>
        <v>0</v>
      </c>
      <c r="K30" s="114">
        <f t="shared" si="16"/>
        <v>0</v>
      </c>
      <c r="L30" s="114">
        <f t="shared" si="16"/>
        <v>0</v>
      </c>
      <c r="M30" s="114">
        <f t="shared" si="16"/>
        <v>0</v>
      </c>
      <c r="N30" s="114">
        <f t="shared" si="16"/>
        <v>0</v>
      </c>
      <c r="O30" s="114">
        <f t="shared" si="16"/>
        <v>0</v>
      </c>
      <c r="P30" s="114">
        <f t="shared" si="16"/>
        <v>0</v>
      </c>
      <c r="Q30" s="114">
        <f t="shared" si="16"/>
        <v>0</v>
      </c>
      <c r="R30" s="114">
        <f t="shared" si="16"/>
        <v>0</v>
      </c>
      <c r="S30" s="114">
        <f t="shared" si="16"/>
        <v>0</v>
      </c>
      <c r="T30" s="114">
        <f t="shared" si="16"/>
        <v>0</v>
      </c>
      <c r="U30" s="114">
        <f t="shared" si="16"/>
        <v>0</v>
      </c>
      <c r="V30" s="114">
        <f t="shared" si="16"/>
        <v>0</v>
      </c>
      <c r="W30" s="114">
        <f t="shared" si="16"/>
        <v>0</v>
      </c>
      <c r="X30" s="114">
        <f t="shared" si="16"/>
        <v>0</v>
      </c>
      <c r="Y30" s="114">
        <f t="shared" si="16"/>
        <v>0</v>
      </c>
      <c r="Z30" s="114">
        <f t="shared" si="16"/>
        <v>0</v>
      </c>
      <c r="AA30" s="114">
        <f t="shared" si="16"/>
        <v>0</v>
      </c>
      <c r="AB30" s="114">
        <f t="shared" si="16"/>
        <v>0</v>
      </c>
      <c r="AC30" s="114">
        <f t="shared" si="16"/>
        <v>0</v>
      </c>
      <c r="AD30" s="114">
        <f t="shared" si="16"/>
        <v>0</v>
      </c>
      <c r="AE30" s="114">
        <f t="shared" si="16"/>
        <v>0</v>
      </c>
      <c r="AF30" s="114">
        <f t="shared" si="16"/>
        <v>0</v>
      </c>
      <c r="AG30" s="114">
        <f t="shared" si="16"/>
        <v>0</v>
      </c>
      <c r="AH30" s="115">
        <f t="shared" si="14"/>
        <v>0</v>
      </c>
      <c r="AI30" s="317">
        <v>2</v>
      </c>
      <c r="AJ30" s="318">
        <f>+IF(F11="",0,IF(OR(F11=#REF!,F11=#REF!,F11=#REF!,F11=#REF!,F11=#REF!,F11=#REF!,F11=#REF!),0,IF(F11=#REF!,30.001,IF(F11=#REF!,45.001,0))))</f>
        <v>0</v>
      </c>
      <c r="AK30" s="13">
        <f>+IF(F11="",75,IF(F11=#REF!,18,IF(F11=#REF!,27,IF(F11=#REF!,75,IF(F11=#REF!,35,IF(F11=#REF!,30,IF(F11=#REF!,45,IF(F11=#REF!,65,IF(F11=#REF!,5,IF(F11=#REF!,65,75))))))))))</f>
        <v>75</v>
      </c>
      <c r="AL30" s="12"/>
      <c r="AQ30" s="163"/>
      <c r="AR30" s="163"/>
    </row>
    <row r="31" spans="2:56" ht="15" thickBot="1" x14ac:dyDescent="0.35">
      <c r="B31" s="15"/>
      <c r="C31" s="111">
        <f>C12</f>
        <v>3</v>
      </c>
      <c r="D31" s="112">
        <f>X12</f>
        <v>0</v>
      </c>
      <c r="E31" s="112">
        <f t="shared" si="12"/>
        <v>0</v>
      </c>
      <c r="F31" s="112">
        <f t="shared" si="12"/>
        <v>0</v>
      </c>
      <c r="G31" s="112">
        <f t="shared" si="15"/>
        <v>0</v>
      </c>
      <c r="H31" s="116"/>
      <c r="I31" s="114">
        <f>IF($I12&gt;=25,$G31,IF(I$28&lt;=$I12,$G31,IF(I$28&lt;=($I12*($AE12+1)),$G31,0)))-IF($I12="",0,IF(I$28-1&lt;=($I12*$AE12),$F31,0))*IF(OR($AF12=0,$AF12&gt;25),0,IF(MOD(I$28,$I12)=0,1,0))</f>
        <v>0</v>
      </c>
      <c r="J31" s="114">
        <f t="shared" ref="J31:AG31" si="17">IF($I12&gt;=25,$G31,IF(J$28&lt;=$I12,$G31,IF(J$28&lt;=($I12*($AE12+1)),$G31,0)))-IF($I12="",0,IF(J$28-1&lt;=($I12*$AE12),$F31,0))*IF(OR($AF12=0,$AF12&gt;25),0,IF(MOD(J$28-1,$I12)=0,1,0))</f>
        <v>0</v>
      </c>
      <c r="K31" s="114">
        <f t="shared" si="17"/>
        <v>0</v>
      </c>
      <c r="L31" s="114">
        <f t="shared" si="17"/>
        <v>0</v>
      </c>
      <c r="M31" s="114">
        <f t="shared" si="17"/>
        <v>0</v>
      </c>
      <c r="N31" s="114">
        <f t="shared" si="17"/>
        <v>0</v>
      </c>
      <c r="O31" s="114">
        <f t="shared" si="17"/>
        <v>0</v>
      </c>
      <c r="P31" s="114">
        <f t="shared" si="17"/>
        <v>0</v>
      </c>
      <c r="Q31" s="114">
        <f t="shared" si="17"/>
        <v>0</v>
      </c>
      <c r="R31" s="114">
        <f t="shared" si="17"/>
        <v>0</v>
      </c>
      <c r="S31" s="114">
        <f t="shared" si="17"/>
        <v>0</v>
      </c>
      <c r="T31" s="114">
        <f t="shared" si="17"/>
        <v>0</v>
      </c>
      <c r="U31" s="114">
        <f t="shared" si="17"/>
        <v>0</v>
      </c>
      <c r="V31" s="114">
        <f t="shared" si="17"/>
        <v>0</v>
      </c>
      <c r="W31" s="114">
        <f t="shared" si="17"/>
        <v>0</v>
      </c>
      <c r="X31" s="114">
        <f t="shared" si="17"/>
        <v>0</v>
      </c>
      <c r="Y31" s="114">
        <f t="shared" si="17"/>
        <v>0</v>
      </c>
      <c r="Z31" s="114">
        <f t="shared" si="17"/>
        <v>0</v>
      </c>
      <c r="AA31" s="114">
        <f t="shared" si="17"/>
        <v>0</v>
      </c>
      <c r="AB31" s="114">
        <f t="shared" si="17"/>
        <v>0</v>
      </c>
      <c r="AC31" s="114">
        <f t="shared" si="17"/>
        <v>0</v>
      </c>
      <c r="AD31" s="114">
        <f t="shared" si="17"/>
        <v>0</v>
      </c>
      <c r="AE31" s="114">
        <f t="shared" si="17"/>
        <v>0</v>
      </c>
      <c r="AF31" s="114">
        <f t="shared" si="17"/>
        <v>0</v>
      </c>
      <c r="AG31" s="114">
        <f t="shared" si="17"/>
        <v>0</v>
      </c>
      <c r="AH31" s="115">
        <f t="shared" si="14"/>
        <v>0</v>
      </c>
      <c r="AI31" s="317">
        <v>3</v>
      </c>
      <c r="AJ31" s="318">
        <f>+IF(F12="",0,IF(OR(F12=#REF!,F12=#REF!,F12=#REF!,F12=#REF!,F12=#REF!,F12=#REF!,F12=#REF!),0,IF(F12=#REF!,30.001,IF(F12=#REF!,45.001,0))))</f>
        <v>0</v>
      </c>
      <c r="AK31" s="13">
        <f>+IF(F12="",75,IF(F12=#REF!,18,IF(F12=#REF!,27,IF(F12=#REF!,75,IF(F12=#REF!,35,IF(F12=#REF!,30,IF(F12=#REF!,45,IF(F12=#REF!,65,IF(F12=#REF!,5,IF(F12=#REF!,65,75))))))))))</f>
        <v>75</v>
      </c>
      <c r="AL31" s="12"/>
      <c r="AQ31" s="163"/>
      <c r="AR31" s="163"/>
    </row>
    <row r="32" spans="2:56" ht="15" thickBot="1" x14ac:dyDescent="0.35">
      <c r="B32" s="15"/>
      <c r="C32" s="111">
        <f>C13</f>
        <v>4</v>
      </c>
      <c r="D32" s="112">
        <f>X13</f>
        <v>0</v>
      </c>
      <c r="E32" s="112">
        <f t="shared" si="12"/>
        <v>0</v>
      </c>
      <c r="F32" s="112">
        <f t="shared" si="12"/>
        <v>0</v>
      </c>
      <c r="G32" s="112">
        <f t="shared" si="15"/>
        <v>0</v>
      </c>
      <c r="H32" s="116"/>
      <c r="I32" s="114">
        <f>IF($I13&gt;=25,$G32,IF(I$28&lt;=$I13,$G32,IF(I$28&lt;=($I13*($AE13+1)),$G32,0)))-IF($I13="",0,IF(I$28-1&lt;=($I13*$AE13),$F32,0))*IF(OR($AF13=0,$AF13&gt;25),0,IF(MOD(I$28,$I13)=0,1,0))</f>
        <v>0</v>
      </c>
      <c r="J32" s="114">
        <f t="shared" ref="J32:AG32" si="18">IF($I13&gt;=25,$G32,IF(J$28&lt;=$I13,$G32,IF(J$28&lt;=($I13*($AE13+1)),$G32,0)))-IF($I13="",0,IF(J$28-1&lt;=($I13*$AE13),$F32,0))*IF(OR($AF13=0,$AF13&gt;25),0,IF(MOD(J$28-1,$I13)=0,1,0))</f>
        <v>0</v>
      </c>
      <c r="K32" s="114">
        <f t="shared" si="18"/>
        <v>0</v>
      </c>
      <c r="L32" s="114">
        <f t="shared" si="18"/>
        <v>0</v>
      </c>
      <c r="M32" s="114">
        <f t="shared" si="18"/>
        <v>0</v>
      </c>
      <c r="N32" s="114">
        <f t="shared" si="18"/>
        <v>0</v>
      </c>
      <c r="O32" s="114">
        <f t="shared" si="18"/>
        <v>0</v>
      </c>
      <c r="P32" s="114">
        <f t="shared" si="18"/>
        <v>0</v>
      </c>
      <c r="Q32" s="114">
        <f t="shared" si="18"/>
        <v>0</v>
      </c>
      <c r="R32" s="114">
        <f t="shared" si="18"/>
        <v>0</v>
      </c>
      <c r="S32" s="114">
        <f t="shared" si="18"/>
        <v>0</v>
      </c>
      <c r="T32" s="114">
        <f t="shared" si="18"/>
        <v>0</v>
      </c>
      <c r="U32" s="114">
        <f t="shared" si="18"/>
        <v>0</v>
      </c>
      <c r="V32" s="114">
        <f t="shared" si="18"/>
        <v>0</v>
      </c>
      <c r="W32" s="114">
        <f t="shared" si="18"/>
        <v>0</v>
      </c>
      <c r="X32" s="114">
        <f t="shared" si="18"/>
        <v>0</v>
      </c>
      <c r="Y32" s="114">
        <f t="shared" si="18"/>
        <v>0</v>
      </c>
      <c r="Z32" s="114">
        <f t="shared" si="18"/>
        <v>0</v>
      </c>
      <c r="AA32" s="114">
        <f t="shared" si="18"/>
        <v>0</v>
      </c>
      <c r="AB32" s="114">
        <f t="shared" si="18"/>
        <v>0</v>
      </c>
      <c r="AC32" s="114">
        <f t="shared" si="18"/>
        <v>0</v>
      </c>
      <c r="AD32" s="114">
        <f t="shared" si="18"/>
        <v>0</v>
      </c>
      <c r="AE32" s="114">
        <f t="shared" si="18"/>
        <v>0</v>
      </c>
      <c r="AF32" s="114">
        <f t="shared" si="18"/>
        <v>0</v>
      </c>
      <c r="AG32" s="114">
        <f t="shared" si="18"/>
        <v>0</v>
      </c>
      <c r="AH32" s="115">
        <f t="shared" si="14"/>
        <v>0</v>
      </c>
      <c r="AI32" s="317">
        <v>4</v>
      </c>
      <c r="AJ32" s="318">
        <f>+IF(F13="",0,IF(OR(F13=#REF!,F13=#REF!,F13=#REF!,F13=#REF!,F13=#REF!,F13=#REF!,F13=#REF!),0,IF(F13=#REF!,30.001,IF(F13=#REF!,45.001,0))))</f>
        <v>0</v>
      </c>
      <c r="AK32" s="13">
        <f>+IF(F13="",75,IF(F13=#REF!,18,IF(F13=#REF!,27,IF(F13=#REF!,75,IF(F13=#REF!,35,IF(F13=#REF!,30,IF(F13=#REF!,45,IF(F13=#REF!,65,IF(F13=#REF!,5,IF(F13=#REF!,65,75))))))))))</f>
        <v>75</v>
      </c>
      <c r="AL32" s="12"/>
      <c r="AQ32" s="163"/>
      <c r="AR32" s="163"/>
    </row>
    <row r="33" spans="2:44" ht="15" thickBot="1" x14ac:dyDescent="0.35">
      <c r="B33" s="15"/>
      <c r="C33" s="111">
        <f t="shared" ref="C33:C35" si="19">C15</f>
        <v>5</v>
      </c>
      <c r="D33" s="112">
        <f t="shared" ref="D33:D35" si="20">X15</f>
        <v>0</v>
      </c>
      <c r="E33" s="112">
        <f>AC15</f>
        <v>0</v>
      </c>
      <c r="F33" s="112">
        <f>AD15</f>
        <v>0</v>
      </c>
      <c r="G33" s="112">
        <f t="shared" si="15"/>
        <v>0</v>
      </c>
      <c r="H33" s="116"/>
      <c r="I33" s="114">
        <f>IF($I15&gt;=25,$G33,IF(I$28&lt;=$I15,$G33,IF(I$28&lt;=($I15*($AE15+1)),$G33,0)))-IF($I15="",0,IF(I$28-1&lt;=($I15*$AE15),$F33,0))*IF(OR($AF15=0,$AF15&gt;25),0,IF(MOD(I$28,$I15)=0,1,0))</f>
        <v>0</v>
      </c>
      <c r="J33" s="114">
        <f t="shared" ref="J33:AG33" si="21">IF($I15&gt;=25,$G33,IF(J$28&lt;=$I15,$G33,IF(J$28&lt;=($I15*($AE15+1)),$G33,0)))-IF($I15="",0,IF(J$28-1&lt;=($I15*$AE15),$F33,0))*IF(OR($AF15=0,$AF15&gt;25),0,IF(MOD(J$28-1,$I15)=0,1,0))</f>
        <v>0</v>
      </c>
      <c r="K33" s="114">
        <f t="shared" si="21"/>
        <v>0</v>
      </c>
      <c r="L33" s="114">
        <f t="shared" si="21"/>
        <v>0</v>
      </c>
      <c r="M33" s="114">
        <f t="shared" si="21"/>
        <v>0</v>
      </c>
      <c r="N33" s="114">
        <f t="shared" si="21"/>
        <v>0</v>
      </c>
      <c r="O33" s="114">
        <f t="shared" si="21"/>
        <v>0</v>
      </c>
      <c r="P33" s="114">
        <f t="shared" si="21"/>
        <v>0</v>
      </c>
      <c r="Q33" s="114">
        <f t="shared" si="21"/>
        <v>0</v>
      </c>
      <c r="R33" s="114">
        <f t="shared" si="21"/>
        <v>0</v>
      </c>
      <c r="S33" s="114">
        <f t="shared" si="21"/>
        <v>0</v>
      </c>
      <c r="T33" s="114">
        <f t="shared" si="21"/>
        <v>0</v>
      </c>
      <c r="U33" s="114">
        <f t="shared" si="21"/>
        <v>0</v>
      </c>
      <c r="V33" s="114">
        <f t="shared" si="21"/>
        <v>0</v>
      </c>
      <c r="W33" s="114">
        <f t="shared" si="21"/>
        <v>0</v>
      </c>
      <c r="X33" s="114">
        <f t="shared" si="21"/>
        <v>0</v>
      </c>
      <c r="Y33" s="114">
        <f t="shared" si="21"/>
        <v>0</v>
      </c>
      <c r="Z33" s="114">
        <f t="shared" si="21"/>
        <v>0</v>
      </c>
      <c r="AA33" s="114">
        <f t="shared" si="21"/>
        <v>0</v>
      </c>
      <c r="AB33" s="114">
        <f t="shared" si="21"/>
        <v>0</v>
      </c>
      <c r="AC33" s="114">
        <f t="shared" si="21"/>
        <v>0</v>
      </c>
      <c r="AD33" s="114">
        <f t="shared" si="21"/>
        <v>0</v>
      </c>
      <c r="AE33" s="114">
        <f t="shared" si="21"/>
        <v>0</v>
      </c>
      <c r="AF33" s="114">
        <f t="shared" si="21"/>
        <v>0</v>
      </c>
      <c r="AG33" s="114">
        <f t="shared" si="21"/>
        <v>0</v>
      </c>
      <c r="AH33" s="115">
        <f t="shared" si="14"/>
        <v>0</v>
      </c>
      <c r="AI33" s="317">
        <v>5</v>
      </c>
      <c r="AJ33" s="318">
        <f>+IF(F15="",0,IF(OR(F15=#REF!,F15=#REF!,F15=#REF!,F15=#REF!,F15=#REF!,F15=#REF!,F15=#REF!),0,IF(F15=#REF!,30.001,IF(F15=#REF!,45.001,0))))</f>
        <v>0</v>
      </c>
      <c r="AK33" s="13">
        <f>+IF(F15="",75,IF(F15=#REF!,18,IF(F15=#REF!,27,IF(F15=#REF!,75,IF(F15=#REF!,35,IF(F15=#REF!,30,IF(F15=#REF!,45,IF(F15=#REF!,65,IF(F15=#REF!,5,IF(F15=#REF!,65,75))))))))))</f>
        <v>75</v>
      </c>
      <c r="AL33" s="12"/>
      <c r="AQ33" s="163"/>
      <c r="AR33" s="163"/>
    </row>
    <row r="34" spans="2:44" ht="15" thickBot="1" x14ac:dyDescent="0.35">
      <c r="B34" s="15"/>
      <c r="C34" s="111">
        <f t="shared" si="19"/>
        <v>6</v>
      </c>
      <c r="D34" s="117">
        <f t="shared" si="20"/>
        <v>0</v>
      </c>
      <c r="E34" s="117">
        <f t="shared" ref="E34:F35" si="22">AC16</f>
        <v>0</v>
      </c>
      <c r="F34" s="117">
        <f t="shared" si="22"/>
        <v>0</v>
      </c>
      <c r="G34" s="112">
        <f t="shared" si="15"/>
        <v>0</v>
      </c>
      <c r="H34" s="118"/>
      <c r="I34" s="114">
        <f>IF($I16&gt;=25,$G34,IF(I$28&lt;=$I16,$G34,IF(I$28&lt;=($I16*($AE16+1)),$G34,0)))-IF(I$28-1&lt;=($I16*$AE16),$F34,0)*IF(OR($AF16=0,$AF16&gt;25),0,IF(MOD(I$28,$I16)=0,1,0))</f>
        <v>0</v>
      </c>
      <c r="J34" s="114">
        <f t="shared" ref="J34:AG34" si="23">IF($I16&gt;=25,$G34,IF(J$28&lt;=$I16,$G34,IF(J$28&lt;=($I16*($AE16+1)),$G34,0)))-IF(J$28-1&lt;=($I16*$AE16),$F34,0)*IF(OR($AF16=0,$AF16&gt;25),0,IF(MOD(J$28-1,$I16)=0,1,0))</f>
        <v>0</v>
      </c>
      <c r="K34" s="114">
        <f t="shared" si="23"/>
        <v>0</v>
      </c>
      <c r="L34" s="114">
        <f t="shared" si="23"/>
        <v>0</v>
      </c>
      <c r="M34" s="114">
        <f t="shared" si="23"/>
        <v>0</v>
      </c>
      <c r="N34" s="114">
        <f t="shared" si="23"/>
        <v>0</v>
      </c>
      <c r="O34" s="114">
        <f t="shared" si="23"/>
        <v>0</v>
      </c>
      <c r="P34" s="114">
        <f t="shared" si="23"/>
        <v>0</v>
      </c>
      <c r="Q34" s="114">
        <f t="shared" si="23"/>
        <v>0</v>
      </c>
      <c r="R34" s="114">
        <f t="shared" si="23"/>
        <v>0</v>
      </c>
      <c r="S34" s="114">
        <f t="shared" si="23"/>
        <v>0</v>
      </c>
      <c r="T34" s="114">
        <f t="shared" si="23"/>
        <v>0</v>
      </c>
      <c r="U34" s="114">
        <f t="shared" si="23"/>
        <v>0</v>
      </c>
      <c r="V34" s="114">
        <f t="shared" si="23"/>
        <v>0</v>
      </c>
      <c r="W34" s="114">
        <f t="shared" si="23"/>
        <v>0</v>
      </c>
      <c r="X34" s="114">
        <f t="shared" si="23"/>
        <v>0</v>
      </c>
      <c r="Y34" s="114">
        <f t="shared" si="23"/>
        <v>0</v>
      </c>
      <c r="Z34" s="114">
        <f t="shared" si="23"/>
        <v>0</v>
      </c>
      <c r="AA34" s="114">
        <f t="shared" si="23"/>
        <v>0</v>
      </c>
      <c r="AB34" s="114">
        <f t="shared" si="23"/>
        <v>0</v>
      </c>
      <c r="AC34" s="114">
        <f t="shared" si="23"/>
        <v>0</v>
      </c>
      <c r="AD34" s="114">
        <f t="shared" si="23"/>
        <v>0</v>
      </c>
      <c r="AE34" s="114">
        <f t="shared" si="23"/>
        <v>0</v>
      </c>
      <c r="AF34" s="114">
        <f t="shared" si="23"/>
        <v>0</v>
      </c>
      <c r="AG34" s="114">
        <f t="shared" si="23"/>
        <v>0</v>
      </c>
      <c r="AH34" s="115">
        <f t="shared" si="14"/>
        <v>0</v>
      </c>
      <c r="AI34" s="146"/>
      <c r="AJ34" s="146"/>
      <c r="AL34" s="12"/>
      <c r="AQ34" s="163"/>
      <c r="AR34" s="163"/>
    </row>
    <row r="35" spans="2:44" ht="15" thickBot="1" x14ac:dyDescent="0.35">
      <c r="B35" s="15"/>
      <c r="C35" s="111">
        <f t="shared" si="19"/>
        <v>7</v>
      </c>
      <c r="D35" s="117">
        <f t="shared" si="20"/>
        <v>0</v>
      </c>
      <c r="E35" s="117">
        <f t="shared" si="22"/>
        <v>0</v>
      </c>
      <c r="F35" s="117">
        <f t="shared" si="22"/>
        <v>0</v>
      </c>
      <c r="G35" s="112">
        <f t="shared" si="15"/>
        <v>0</v>
      </c>
      <c r="H35" s="118"/>
      <c r="I35" s="114">
        <f>IF($I17&gt;=25,$G35,IF(I$28&lt;=$I17,$G35,IF(I$28&lt;=($I17*($AE17+1)),$G35,0)))-IF(I$28-1&lt;=($I17*$AE17),$F35,0)*IF(OR($AF17=0,$AF17&gt;25),0,IF(MOD(I$28,$I17)=0,1,0))</f>
        <v>0</v>
      </c>
      <c r="J35" s="114">
        <f t="shared" ref="J35:AG35" si="24">IF($I17&gt;=25,$G35,IF(J$28&lt;=$I17,$G35,IF(J$28&lt;=($I17*($AE17+1)),$G35,0)))-IF(J$28-1&lt;=($I17*$AE17),$F35,0)*IF(OR($AF17=0,$AF17&gt;25),0,IF(MOD(J$28-1,$I17)=0,1,0))</f>
        <v>0</v>
      </c>
      <c r="K35" s="114">
        <f t="shared" si="24"/>
        <v>0</v>
      </c>
      <c r="L35" s="114">
        <f t="shared" si="24"/>
        <v>0</v>
      </c>
      <c r="M35" s="114">
        <f t="shared" si="24"/>
        <v>0</v>
      </c>
      <c r="N35" s="114">
        <f t="shared" si="24"/>
        <v>0</v>
      </c>
      <c r="O35" s="114">
        <f t="shared" si="24"/>
        <v>0</v>
      </c>
      <c r="P35" s="114">
        <f t="shared" si="24"/>
        <v>0</v>
      </c>
      <c r="Q35" s="114">
        <f t="shared" si="24"/>
        <v>0</v>
      </c>
      <c r="R35" s="114">
        <f t="shared" si="24"/>
        <v>0</v>
      </c>
      <c r="S35" s="114">
        <f t="shared" si="24"/>
        <v>0</v>
      </c>
      <c r="T35" s="114">
        <f t="shared" si="24"/>
        <v>0</v>
      </c>
      <c r="U35" s="114">
        <f t="shared" si="24"/>
        <v>0</v>
      </c>
      <c r="V35" s="114">
        <f t="shared" si="24"/>
        <v>0</v>
      </c>
      <c r="W35" s="114">
        <f t="shared" si="24"/>
        <v>0</v>
      </c>
      <c r="X35" s="114">
        <f t="shared" si="24"/>
        <v>0</v>
      </c>
      <c r="Y35" s="114">
        <f t="shared" si="24"/>
        <v>0</v>
      </c>
      <c r="Z35" s="114">
        <f t="shared" si="24"/>
        <v>0</v>
      </c>
      <c r="AA35" s="114">
        <f t="shared" si="24"/>
        <v>0</v>
      </c>
      <c r="AB35" s="114">
        <f t="shared" si="24"/>
        <v>0</v>
      </c>
      <c r="AC35" s="114">
        <f t="shared" si="24"/>
        <v>0</v>
      </c>
      <c r="AD35" s="114">
        <f t="shared" si="24"/>
        <v>0</v>
      </c>
      <c r="AE35" s="114">
        <f t="shared" si="24"/>
        <v>0</v>
      </c>
      <c r="AF35" s="114">
        <f t="shared" si="24"/>
        <v>0</v>
      </c>
      <c r="AG35" s="114">
        <f t="shared" si="24"/>
        <v>0</v>
      </c>
      <c r="AH35" s="115">
        <f>SUM(I35:AG35)</f>
        <v>0</v>
      </c>
      <c r="AI35" s="146"/>
      <c r="AJ35" s="146"/>
      <c r="AL35" s="12"/>
      <c r="AQ35" s="163"/>
      <c r="AR35" s="163"/>
    </row>
    <row r="36" spans="2:44" ht="15" thickBot="1" x14ac:dyDescent="0.35">
      <c r="B36" s="15"/>
      <c r="C36" s="111">
        <f>C19</f>
        <v>8</v>
      </c>
      <c r="D36" s="117">
        <f>X19</f>
        <v>0</v>
      </c>
      <c r="E36" s="117">
        <f>AC19</f>
        <v>0</v>
      </c>
      <c r="F36" s="117">
        <f>AD19</f>
        <v>0</v>
      </c>
      <c r="G36" s="112">
        <f t="shared" si="15"/>
        <v>0</v>
      </c>
      <c r="H36" s="118"/>
      <c r="I36" s="114">
        <f>IF($I19&gt;=25,$G36,IF(I$28&lt;=$I19,$G36,IF(I$28&lt;=($I19*($AE19+1)),$G36,0)))-IF(I$28-1&lt;=($I19*$AE19),$F36,0)*IF(OR($AF19=0,$AF19&gt;25),0,IF(MOD(I$28,$I19)=0,1,0))</f>
        <v>0</v>
      </c>
      <c r="J36" s="114">
        <f t="shared" ref="J36:AG36" si="25">IF($I19&gt;=25,$G36,IF(J$28&lt;=$I19,$G36,IF(J$28&lt;=($I19*($AE19+1)),$G36,0)))-IF(J$28-1&lt;=($I19*$AE19),$F36,0)*IF(OR($AF19=0,$AF19&gt;25),0,IF(MOD(J$28-1,$I19)=0,1,0))</f>
        <v>0</v>
      </c>
      <c r="K36" s="114">
        <f t="shared" si="25"/>
        <v>0</v>
      </c>
      <c r="L36" s="114">
        <f t="shared" si="25"/>
        <v>0</v>
      </c>
      <c r="M36" s="114">
        <f t="shared" si="25"/>
        <v>0</v>
      </c>
      <c r="N36" s="114">
        <f t="shared" si="25"/>
        <v>0</v>
      </c>
      <c r="O36" s="114">
        <f t="shared" si="25"/>
        <v>0</v>
      </c>
      <c r="P36" s="114">
        <f t="shared" si="25"/>
        <v>0</v>
      </c>
      <c r="Q36" s="114">
        <f t="shared" si="25"/>
        <v>0</v>
      </c>
      <c r="R36" s="114">
        <f t="shared" si="25"/>
        <v>0</v>
      </c>
      <c r="S36" s="114">
        <f t="shared" si="25"/>
        <v>0</v>
      </c>
      <c r="T36" s="114">
        <f t="shared" si="25"/>
        <v>0</v>
      </c>
      <c r="U36" s="114">
        <f t="shared" si="25"/>
        <v>0</v>
      </c>
      <c r="V36" s="114">
        <f t="shared" si="25"/>
        <v>0</v>
      </c>
      <c r="W36" s="114">
        <f t="shared" si="25"/>
        <v>0</v>
      </c>
      <c r="X36" s="114">
        <f t="shared" si="25"/>
        <v>0</v>
      </c>
      <c r="Y36" s="114">
        <f t="shared" si="25"/>
        <v>0</v>
      </c>
      <c r="Z36" s="114">
        <f t="shared" si="25"/>
        <v>0</v>
      </c>
      <c r="AA36" s="114">
        <f t="shared" si="25"/>
        <v>0</v>
      </c>
      <c r="AB36" s="114">
        <f t="shared" si="25"/>
        <v>0</v>
      </c>
      <c r="AC36" s="114">
        <f t="shared" si="25"/>
        <v>0</v>
      </c>
      <c r="AD36" s="114">
        <f t="shared" si="25"/>
        <v>0</v>
      </c>
      <c r="AE36" s="114">
        <f t="shared" si="25"/>
        <v>0</v>
      </c>
      <c r="AF36" s="114">
        <f t="shared" si="25"/>
        <v>0</v>
      </c>
      <c r="AG36" s="114">
        <f t="shared" si="25"/>
        <v>0</v>
      </c>
      <c r="AH36" s="115">
        <f t="shared" si="14"/>
        <v>0</v>
      </c>
      <c r="AI36" s="146"/>
      <c r="AJ36" s="146"/>
      <c r="AL36" s="12"/>
      <c r="AQ36" s="163"/>
      <c r="AR36" s="163"/>
    </row>
    <row r="37" spans="2:44" ht="15" thickBot="1" x14ac:dyDescent="0.35">
      <c r="B37" s="15"/>
      <c r="C37" s="111">
        <f>C20</f>
        <v>9</v>
      </c>
      <c r="D37" s="117">
        <f>X20</f>
        <v>0</v>
      </c>
      <c r="E37" s="117">
        <f>AC20</f>
        <v>0</v>
      </c>
      <c r="F37" s="117">
        <f>AD20</f>
        <v>0</v>
      </c>
      <c r="G37" s="112">
        <f t="shared" si="15"/>
        <v>0</v>
      </c>
      <c r="H37" s="118"/>
      <c r="I37" s="114">
        <f>IF($I20&gt;=25,$G37,IF(I$28&lt;=$I20,$G37,IF(I$28&lt;=($I20*($AE20+1)),$G37,0)))-IF(I$28-1&lt;=($I20*$AE20),$F37,0)*IF(OR($AF20=0,$AF20&gt;25),0,IF(MOD(I$28,$I20)=0,1,0))</f>
        <v>0</v>
      </c>
      <c r="J37" s="114">
        <f t="shared" ref="J37:AG37" si="26">IF($I20&gt;=25,$G37,IF(J$28&lt;=$I20,$G37,IF(J$28&lt;=($I20*($AE20+1)),$G37,0)))-IF(J$28-1&lt;=($I20*$AE20),$F37,0)*IF(OR($AF20=0,$AF20&gt;25),0,IF(MOD(J$28-1,$I20)=0,1,0))</f>
        <v>0</v>
      </c>
      <c r="K37" s="114">
        <f t="shared" si="26"/>
        <v>0</v>
      </c>
      <c r="L37" s="114">
        <f t="shared" si="26"/>
        <v>0</v>
      </c>
      <c r="M37" s="114">
        <f t="shared" si="26"/>
        <v>0</v>
      </c>
      <c r="N37" s="114">
        <f t="shared" si="26"/>
        <v>0</v>
      </c>
      <c r="O37" s="114">
        <f t="shared" si="26"/>
        <v>0</v>
      </c>
      <c r="P37" s="114">
        <f t="shared" si="26"/>
        <v>0</v>
      </c>
      <c r="Q37" s="114">
        <f t="shared" si="26"/>
        <v>0</v>
      </c>
      <c r="R37" s="114">
        <f t="shared" si="26"/>
        <v>0</v>
      </c>
      <c r="S37" s="114">
        <f t="shared" si="26"/>
        <v>0</v>
      </c>
      <c r="T37" s="114">
        <f t="shared" si="26"/>
        <v>0</v>
      </c>
      <c r="U37" s="114">
        <f t="shared" si="26"/>
        <v>0</v>
      </c>
      <c r="V37" s="114">
        <f t="shared" si="26"/>
        <v>0</v>
      </c>
      <c r="W37" s="114">
        <f t="shared" si="26"/>
        <v>0</v>
      </c>
      <c r="X37" s="114">
        <f t="shared" si="26"/>
        <v>0</v>
      </c>
      <c r="Y37" s="114">
        <f t="shared" si="26"/>
        <v>0</v>
      </c>
      <c r="Z37" s="114">
        <f t="shared" si="26"/>
        <v>0</v>
      </c>
      <c r="AA37" s="114">
        <f t="shared" si="26"/>
        <v>0</v>
      </c>
      <c r="AB37" s="114">
        <f t="shared" si="26"/>
        <v>0</v>
      </c>
      <c r="AC37" s="114">
        <f t="shared" si="26"/>
        <v>0</v>
      </c>
      <c r="AD37" s="114">
        <f t="shared" si="26"/>
        <v>0</v>
      </c>
      <c r="AE37" s="114">
        <f t="shared" si="26"/>
        <v>0</v>
      </c>
      <c r="AF37" s="114">
        <f t="shared" si="26"/>
        <v>0</v>
      </c>
      <c r="AG37" s="114">
        <f t="shared" si="26"/>
        <v>0</v>
      </c>
      <c r="AH37" s="115">
        <f t="shared" si="14"/>
        <v>0</v>
      </c>
      <c r="AI37" s="146"/>
      <c r="AJ37" s="146"/>
      <c r="AL37" s="12"/>
      <c r="AQ37" s="163"/>
      <c r="AR37" s="163"/>
    </row>
    <row r="38" spans="2:44" ht="15" thickBot="1" x14ac:dyDescent="0.35">
      <c r="B38" s="15"/>
      <c r="C38" s="111"/>
      <c r="D38" s="119"/>
      <c r="E38" s="119"/>
      <c r="F38" s="119"/>
      <c r="G38" s="116"/>
      <c r="H38" s="120" t="s">
        <v>54</v>
      </c>
      <c r="I38" s="121">
        <f t="shared" ref="I38:AH38" si="27">SUM(I29:I37)</f>
        <v>0</v>
      </c>
      <c r="J38" s="121">
        <f t="shared" si="27"/>
        <v>0</v>
      </c>
      <c r="K38" s="121">
        <f t="shared" si="27"/>
        <v>0</v>
      </c>
      <c r="L38" s="121">
        <f t="shared" si="27"/>
        <v>0</v>
      </c>
      <c r="M38" s="121">
        <f t="shared" si="27"/>
        <v>0</v>
      </c>
      <c r="N38" s="121">
        <f t="shared" si="27"/>
        <v>0</v>
      </c>
      <c r="O38" s="121">
        <f t="shared" si="27"/>
        <v>0</v>
      </c>
      <c r="P38" s="121">
        <f t="shared" si="27"/>
        <v>0</v>
      </c>
      <c r="Q38" s="121">
        <f t="shared" si="27"/>
        <v>0</v>
      </c>
      <c r="R38" s="121">
        <f t="shared" si="27"/>
        <v>0</v>
      </c>
      <c r="S38" s="121">
        <f t="shared" si="27"/>
        <v>0</v>
      </c>
      <c r="T38" s="121">
        <f t="shared" si="27"/>
        <v>0</v>
      </c>
      <c r="U38" s="121">
        <f t="shared" si="27"/>
        <v>0</v>
      </c>
      <c r="V38" s="121">
        <f t="shared" si="27"/>
        <v>0</v>
      </c>
      <c r="W38" s="121">
        <f t="shared" si="27"/>
        <v>0</v>
      </c>
      <c r="X38" s="121">
        <f t="shared" si="27"/>
        <v>0</v>
      </c>
      <c r="Y38" s="121">
        <f t="shared" si="27"/>
        <v>0</v>
      </c>
      <c r="Z38" s="121">
        <f t="shared" si="27"/>
        <v>0</v>
      </c>
      <c r="AA38" s="121">
        <f t="shared" si="27"/>
        <v>0</v>
      </c>
      <c r="AB38" s="121">
        <f t="shared" si="27"/>
        <v>0</v>
      </c>
      <c r="AC38" s="121">
        <f t="shared" si="27"/>
        <v>0</v>
      </c>
      <c r="AD38" s="121">
        <f t="shared" si="27"/>
        <v>0</v>
      </c>
      <c r="AE38" s="121">
        <f t="shared" si="27"/>
        <v>0</v>
      </c>
      <c r="AF38" s="121">
        <f t="shared" si="27"/>
        <v>0</v>
      </c>
      <c r="AG38" s="121">
        <f t="shared" si="27"/>
        <v>0</v>
      </c>
      <c r="AH38" s="122">
        <f t="shared" si="27"/>
        <v>0</v>
      </c>
      <c r="AI38" s="146"/>
      <c r="AJ38" s="146"/>
      <c r="AL38" s="12"/>
      <c r="AQ38" s="163"/>
      <c r="AR38" s="163"/>
    </row>
    <row r="39" spans="2:44" ht="15" thickBot="1" x14ac:dyDescent="0.35">
      <c r="B39" s="15"/>
      <c r="C39" s="111"/>
      <c r="D39" s="123"/>
      <c r="E39" s="123"/>
      <c r="F39" s="123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24"/>
      <c r="AI39" s="146"/>
      <c r="AJ39" s="146"/>
      <c r="AL39" s="12"/>
      <c r="AQ39" s="163"/>
      <c r="AR39" s="163"/>
    </row>
    <row r="40" spans="2:44" ht="28.5" customHeight="1" thickBot="1" x14ac:dyDescent="0.35">
      <c r="B40" s="15"/>
      <c r="C40" s="107" t="s">
        <v>52</v>
      </c>
      <c r="D40" s="125" t="s">
        <v>191</v>
      </c>
      <c r="E40" s="126"/>
      <c r="F40" s="126"/>
      <c r="G40" s="971" t="s">
        <v>192</v>
      </c>
      <c r="H40" s="971"/>
      <c r="I40" s="294">
        <v>1</v>
      </c>
      <c r="J40" s="294">
        <v>2</v>
      </c>
      <c r="K40" s="294">
        <v>3</v>
      </c>
      <c r="L40" s="294">
        <v>4</v>
      </c>
      <c r="M40" s="294">
        <v>5</v>
      </c>
      <c r="N40" s="294">
        <v>6</v>
      </c>
      <c r="O40" s="294">
        <v>7</v>
      </c>
      <c r="P40" s="294">
        <v>8</v>
      </c>
      <c r="Q40" s="294">
        <v>9</v>
      </c>
      <c r="R40" s="294">
        <v>10</v>
      </c>
      <c r="S40" s="294">
        <v>11</v>
      </c>
      <c r="T40" s="294">
        <v>12</v>
      </c>
      <c r="U40" s="294">
        <v>13</v>
      </c>
      <c r="V40" s="294">
        <v>14</v>
      </c>
      <c r="W40" s="294">
        <v>15</v>
      </c>
      <c r="X40" s="294">
        <v>16</v>
      </c>
      <c r="Y40" s="294">
        <v>17</v>
      </c>
      <c r="Z40" s="294">
        <v>18</v>
      </c>
      <c r="AA40" s="294">
        <v>19</v>
      </c>
      <c r="AB40" s="294">
        <v>20</v>
      </c>
      <c r="AC40" s="294">
        <v>21</v>
      </c>
      <c r="AD40" s="294">
        <v>22</v>
      </c>
      <c r="AE40" s="294">
        <v>23</v>
      </c>
      <c r="AF40" s="294">
        <v>24</v>
      </c>
      <c r="AG40" s="294">
        <v>25</v>
      </c>
      <c r="AH40" s="110" t="s">
        <v>53</v>
      </c>
      <c r="AI40" s="146"/>
      <c r="AJ40" s="146"/>
      <c r="AL40" s="12"/>
      <c r="AQ40" s="163"/>
      <c r="AR40" s="163"/>
    </row>
    <row r="41" spans="2:44" ht="15" thickBot="1" x14ac:dyDescent="0.35">
      <c r="B41" s="15"/>
      <c r="C41" s="127">
        <f t="shared" ref="C41:C49" si="28">C29</f>
        <v>1</v>
      </c>
      <c r="D41" s="422">
        <f>W10</f>
        <v>0</v>
      </c>
      <c r="E41" s="423"/>
      <c r="F41" s="423"/>
      <c r="G41" s="422">
        <f>IF(D41="","",D41-E41-F41)</f>
        <v>0</v>
      </c>
      <c r="H41" s="424"/>
      <c r="I41" s="417">
        <f t="shared" ref="I41:AG41" si="29">IF($I10&gt;=25,$G41,IF(I$40&lt;=$I10,$G41,IF(I$40&lt;=($I10*($AE10+1)),$G41,0)))</f>
        <v>0</v>
      </c>
      <c r="J41" s="417">
        <f t="shared" si="29"/>
        <v>0</v>
      </c>
      <c r="K41" s="417">
        <f t="shared" si="29"/>
        <v>0</v>
      </c>
      <c r="L41" s="417">
        <f t="shared" si="29"/>
        <v>0</v>
      </c>
      <c r="M41" s="417">
        <f t="shared" si="29"/>
        <v>0</v>
      </c>
      <c r="N41" s="417">
        <f t="shared" si="29"/>
        <v>0</v>
      </c>
      <c r="O41" s="417">
        <f t="shared" si="29"/>
        <v>0</v>
      </c>
      <c r="P41" s="417">
        <f t="shared" si="29"/>
        <v>0</v>
      </c>
      <c r="Q41" s="417">
        <f t="shared" si="29"/>
        <v>0</v>
      </c>
      <c r="R41" s="417">
        <f t="shared" si="29"/>
        <v>0</v>
      </c>
      <c r="S41" s="417">
        <f t="shared" si="29"/>
        <v>0</v>
      </c>
      <c r="T41" s="417">
        <f t="shared" si="29"/>
        <v>0</v>
      </c>
      <c r="U41" s="417">
        <f t="shared" si="29"/>
        <v>0</v>
      </c>
      <c r="V41" s="417">
        <f t="shared" si="29"/>
        <v>0</v>
      </c>
      <c r="W41" s="417">
        <f t="shared" si="29"/>
        <v>0</v>
      </c>
      <c r="X41" s="417">
        <f t="shared" si="29"/>
        <v>0</v>
      </c>
      <c r="Y41" s="417">
        <f t="shared" si="29"/>
        <v>0</v>
      </c>
      <c r="Z41" s="417">
        <f t="shared" si="29"/>
        <v>0</v>
      </c>
      <c r="AA41" s="417">
        <f t="shared" si="29"/>
        <v>0</v>
      </c>
      <c r="AB41" s="417">
        <f t="shared" si="29"/>
        <v>0</v>
      </c>
      <c r="AC41" s="417">
        <f t="shared" si="29"/>
        <v>0</v>
      </c>
      <c r="AD41" s="417">
        <f t="shared" si="29"/>
        <v>0</v>
      </c>
      <c r="AE41" s="417">
        <f t="shared" si="29"/>
        <v>0</v>
      </c>
      <c r="AF41" s="417">
        <f t="shared" si="29"/>
        <v>0</v>
      </c>
      <c r="AG41" s="417">
        <f t="shared" si="29"/>
        <v>0</v>
      </c>
      <c r="AH41" s="418">
        <f t="shared" ref="AH41:AH48" si="30">SUM(I41:AG41)</f>
        <v>0</v>
      </c>
      <c r="AI41" s="146"/>
      <c r="AJ41" s="146"/>
      <c r="AL41" s="12"/>
    </row>
    <row r="42" spans="2:44" ht="15" thickBot="1" x14ac:dyDescent="0.35">
      <c r="B42" s="15"/>
      <c r="C42" s="127">
        <f t="shared" si="28"/>
        <v>2</v>
      </c>
      <c r="D42" s="422">
        <f>W11</f>
        <v>0</v>
      </c>
      <c r="E42" s="423"/>
      <c r="F42" s="423"/>
      <c r="G42" s="422">
        <f t="shared" ref="G42:G49" si="31">IF(D42="","",D42-E42-F42)</f>
        <v>0</v>
      </c>
      <c r="H42" s="424"/>
      <c r="I42" s="417">
        <f t="shared" ref="I42:AG42" si="32">IF($I11&gt;=25,$G42,IF(I$40&lt;=$I11,$G42,IF(I$40&lt;=($I11*($AE11+1)),$G42,0)))</f>
        <v>0</v>
      </c>
      <c r="J42" s="417">
        <f t="shared" si="32"/>
        <v>0</v>
      </c>
      <c r="K42" s="417">
        <f t="shared" si="32"/>
        <v>0</v>
      </c>
      <c r="L42" s="417">
        <f t="shared" si="32"/>
        <v>0</v>
      </c>
      <c r="M42" s="417">
        <f t="shared" si="32"/>
        <v>0</v>
      </c>
      <c r="N42" s="417">
        <f t="shared" si="32"/>
        <v>0</v>
      </c>
      <c r="O42" s="417">
        <f t="shared" si="32"/>
        <v>0</v>
      </c>
      <c r="P42" s="417">
        <f t="shared" si="32"/>
        <v>0</v>
      </c>
      <c r="Q42" s="417">
        <f t="shared" si="32"/>
        <v>0</v>
      </c>
      <c r="R42" s="417">
        <f t="shared" si="32"/>
        <v>0</v>
      </c>
      <c r="S42" s="417">
        <f t="shared" si="32"/>
        <v>0</v>
      </c>
      <c r="T42" s="417">
        <f t="shared" si="32"/>
        <v>0</v>
      </c>
      <c r="U42" s="417">
        <f t="shared" si="32"/>
        <v>0</v>
      </c>
      <c r="V42" s="417">
        <f t="shared" si="32"/>
        <v>0</v>
      </c>
      <c r="W42" s="417">
        <f t="shared" si="32"/>
        <v>0</v>
      </c>
      <c r="X42" s="417">
        <f t="shared" si="32"/>
        <v>0</v>
      </c>
      <c r="Y42" s="417">
        <f t="shared" si="32"/>
        <v>0</v>
      </c>
      <c r="Z42" s="417">
        <f t="shared" si="32"/>
        <v>0</v>
      </c>
      <c r="AA42" s="417">
        <f t="shared" si="32"/>
        <v>0</v>
      </c>
      <c r="AB42" s="417">
        <f t="shared" si="32"/>
        <v>0</v>
      </c>
      <c r="AC42" s="417">
        <f t="shared" si="32"/>
        <v>0</v>
      </c>
      <c r="AD42" s="417">
        <f t="shared" si="32"/>
        <v>0</v>
      </c>
      <c r="AE42" s="417">
        <f t="shared" si="32"/>
        <v>0</v>
      </c>
      <c r="AF42" s="417">
        <f t="shared" si="32"/>
        <v>0</v>
      </c>
      <c r="AG42" s="417">
        <f t="shared" si="32"/>
        <v>0</v>
      </c>
      <c r="AH42" s="418">
        <f t="shared" si="30"/>
        <v>0</v>
      </c>
      <c r="AI42" s="146"/>
      <c r="AJ42" s="146"/>
      <c r="AL42" s="12"/>
    </row>
    <row r="43" spans="2:44" ht="15" thickBot="1" x14ac:dyDescent="0.35">
      <c r="B43" s="15"/>
      <c r="C43" s="127">
        <f t="shared" si="28"/>
        <v>3</v>
      </c>
      <c r="D43" s="422">
        <f>W12</f>
        <v>0</v>
      </c>
      <c r="E43" s="423"/>
      <c r="F43" s="423"/>
      <c r="G43" s="422">
        <f t="shared" si="31"/>
        <v>0</v>
      </c>
      <c r="H43" s="424"/>
      <c r="I43" s="417">
        <f t="shared" ref="I43:AG43" si="33">IF($I12&gt;=25,$G43,IF(I$40&lt;=$I12,$G43,IF(I$40&lt;=($I12*($AE12+1)),$G43,0)))</f>
        <v>0</v>
      </c>
      <c r="J43" s="417">
        <f t="shared" si="33"/>
        <v>0</v>
      </c>
      <c r="K43" s="417">
        <f t="shared" si="33"/>
        <v>0</v>
      </c>
      <c r="L43" s="417">
        <f t="shared" si="33"/>
        <v>0</v>
      </c>
      <c r="M43" s="417">
        <f t="shared" si="33"/>
        <v>0</v>
      </c>
      <c r="N43" s="417">
        <f t="shared" si="33"/>
        <v>0</v>
      </c>
      <c r="O43" s="417">
        <f t="shared" si="33"/>
        <v>0</v>
      </c>
      <c r="P43" s="417">
        <f t="shared" si="33"/>
        <v>0</v>
      </c>
      <c r="Q43" s="417">
        <f t="shared" si="33"/>
        <v>0</v>
      </c>
      <c r="R43" s="417">
        <f t="shared" si="33"/>
        <v>0</v>
      </c>
      <c r="S43" s="417">
        <f t="shared" si="33"/>
        <v>0</v>
      </c>
      <c r="T43" s="417">
        <f t="shared" si="33"/>
        <v>0</v>
      </c>
      <c r="U43" s="417">
        <f t="shared" si="33"/>
        <v>0</v>
      </c>
      <c r="V43" s="417">
        <f t="shared" si="33"/>
        <v>0</v>
      </c>
      <c r="W43" s="417">
        <f t="shared" si="33"/>
        <v>0</v>
      </c>
      <c r="X43" s="417">
        <f t="shared" si="33"/>
        <v>0</v>
      </c>
      <c r="Y43" s="417">
        <f t="shared" si="33"/>
        <v>0</v>
      </c>
      <c r="Z43" s="417">
        <f t="shared" si="33"/>
        <v>0</v>
      </c>
      <c r="AA43" s="417">
        <f t="shared" si="33"/>
        <v>0</v>
      </c>
      <c r="AB43" s="417">
        <f t="shared" si="33"/>
        <v>0</v>
      </c>
      <c r="AC43" s="417">
        <f t="shared" si="33"/>
        <v>0</v>
      </c>
      <c r="AD43" s="417">
        <f t="shared" si="33"/>
        <v>0</v>
      </c>
      <c r="AE43" s="417">
        <f t="shared" si="33"/>
        <v>0</v>
      </c>
      <c r="AF43" s="417">
        <f t="shared" si="33"/>
        <v>0</v>
      </c>
      <c r="AG43" s="417">
        <f t="shared" si="33"/>
        <v>0</v>
      </c>
      <c r="AH43" s="418">
        <f t="shared" si="30"/>
        <v>0</v>
      </c>
      <c r="AI43" s="146"/>
      <c r="AJ43" s="146"/>
      <c r="AL43" s="12"/>
    </row>
    <row r="44" spans="2:44" ht="15" thickBot="1" x14ac:dyDescent="0.35">
      <c r="B44" s="15"/>
      <c r="C44" s="127">
        <f t="shared" si="28"/>
        <v>4</v>
      </c>
      <c r="D44" s="422">
        <f>W13</f>
        <v>0</v>
      </c>
      <c r="E44" s="423"/>
      <c r="F44" s="423"/>
      <c r="G44" s="422">
        <f t="shared" si="31"/>
        <v>0</v>
      </c>
      <c r="H44" s="424"/>
      <c r="I44" s="417">
        <f t="shared" ref="I44:AG44" si="34">IF($I13&gt;=25,$G44,IF(I$40&lt;=$I13,$G44,IF(I$40&lt;=($I13*($AE13+1)),$G44,0)))</f>
        <v>0</v>
      </c>
      <c r="J44" s="417">
        <f t="shared" si="34"/>
        <v>0</v>
      </c>
      <c r="K44" s="417">
        <f t="shared" si="34"/>
        <v>0</v>
      </c>
      <c r="L44" s="417">
        <f t="shared" si="34"/>
        <v>0</v>
      </c>
      <c r="M44" s="417">
        <f t="shared" si="34"/>
        <v>0</v>
      </c>
      <c r="N44" s="417">
        <f t="shared" si="34"/>
        <v>0</v>
      </c>
      <c r="O44" s="417">
        <f t="shared" si="34"/>
        <v>0</v>
      </c>
      <c r="P44" s="417">
        <f t="shared" si="34"/>
        <v>0</v>
      </c>
      <c r="Q44" s="417">
        <f t="shared" si="34"/>
        <v>0</v>
      </c>
      <c r="R44" s="417">
        <f t="shared" si="34"/>
        <v>0</v>
      </c>
      <c r="S44" s="417">
        <f t="shared" si="34"/>
        <v>0</v>
      </c>
      <c r="T44" s="417">
        <f t="shared" si="34"/>
        <v>0</v>
      </c>
      <c r="U44" s="417">
        <f t="shared" si="34"/>
        <v>0</v>
      </c>
      <c r="V44" s="417">
        <f t="shared" si="34"/>
        <v>0</v>
      </c>
      <c r="W44" s="417">
        <f t="shared" si="34"/>
        <v>0</v>
      </c>
      <c r="X44" s="417">
        <f t="shared" si="34"/>
        <v>0</v>
      </c>
      <c r="Y44" s="417">
        <f t="shared" si="34"/>
        <v>0</v>
      </c>
      <c r="Z44" s="417">
        <f t="shared" si="34"/>
        <v>0</v>
      </c>
      <c r="AA44" s="417">
        <f t="shared" si="34"/>
        <v>0</v>
      </c>
      <c r="AB44" s="417">
        <f t="shared" si="34"/>
        <v>0</v>
      </c>
      <c r="AC44" s="417">
        <f t="shared" si="34"/>
        <v>0</v>
      </c>
      <c r="AD44" s="417">
        <f t="shared" si="34"/>
        <v>0</v>
      </c>
      <c r="AE44" s="417">
        <f t="shared" si="34"/>
        <v>0</v>
      </c>
      <c r="AF44" s="417">
        <f t="shared" si="34"/>
        <v>0</v>
      </c>
      <c r="AG44" s="417">
        <f t="shared" si="34"/>
        <v>0</v>
      </c>
      <c r="AH44" s="418">
        <f t="shared" si="30"/>
        <v>0</v>
      </c>
      <c r="AI44" s="146"/>
      <c r="AJ44" s="146"/>
      <c r="AL44" s="12"/>
    </row>
    <row r="45" spans="2:44" ht="15" thickBot="1" x14ac:dyDescent="0.35">
      <c r="B45" s="15"/>
      <c r="C45" s="129">
        <f t="shared" si="28"/>
        <v>5</v>
      </c>
      <c r="D45" s="422">
        <f>W15</f>
        <v>0</v>
      </c>
      <c r="E45" s="423"/>
      <c r="F45" s="423"/>
      <c r="G45" s="422">
        <f t="shared" si="31"/>
        <v>0</v>
      </c>
      <c r="H45" s="424"/>
      <c r="I45" s="417">
        <f t="shared" ref="I45:AG45" si="35">IF($I15&gt;=25,$G45,IF(I$40&lt;=$I15,$G45,IF(I$40&lt;=($I15*($AE15+1)),$G45,0)))</f>
        <v>0</v>
      </c>
      <c r="J45" s="417">
        <f t="shared" si="35"/>
        <v>0</v>
      </c>
      <c r="K45" s="417">
        <f t="shared" si="35"/>
        <v>0</v>
      </c>
      <c r="L45" s="417">
        <f t="shared" si="35"/>
        <v>0</v>
      </c>
      <c r="M45" s="417">
        <f t="shared" si="35"/>
        <v>0</v>
      </c>
      <c r="N45" s="417">
        <f t="shared" si="35"/>
        <v>0</v>
      </c>
      <c r="O45" s="417">
        <f t="shared" si="35"/>
        <v>0</v>
      </c>
      <c r="P45" s="417">
        <f t="shared" si="35"/>
        <v>0</v>
      </c>
      <c r="Q45" s="417">
        <f t="shared" si="35"/>
        <v>0</v>
      </c>
      <c r="R45" s="417">
        <f t="shared" si="35"/>
        <v>0</v>
      </c>
      <c r="S45" s="417">
        <f t="shared" si="35"/>
        <v>0</v>
      </c>
      <c r="T45" s="417">
        <f t="shared" si="35"/>
        <v>0</v>
      </c>
      <c r="U45" s="417">
        <f t="shared" si="35"/>
        <v>0</v>
      </c>
      <c r="V45" s="417">
        <f t="shared" si="35"/>
        <v>0</v>
      </c>
      <c r="W45" s="417">
        <f t="shared" si="35"/>
        <v>0</v>
      </c>
      <c r="X45" s="417">
        <f t="shared" si="35"/>
        <v>0</v>
      </c>
      <c r="Y45" s="417">
        <f t="shared" si="35"/>
        <v>0</v>
      </c>
      <c r="Z45" s="417">
        <f t="shared" si="35"/>
        <v>0</v>
      </c>
      <c r="AA45" s="417">
        <f t="shared" si="35"/>
        <v>0</v>
      </c>
      <c r="AB45" s="417">
        <f t="shared" si="35"/>
        <v>0</v>
      </c>
      <c r="AC45" s="417">
        <f t="shared" si="35"/>
        <v>0</v>
      </c>
      <c r="AD45" s="417">
        <f t="shared" si="35"/>
        <v>0</v>
      </c>
      <c r="AE45" s="417">
        <f t="shared" si="35"/>
        <v>0</v>
      </c>
      <c r="AF45" s="417">
        <f t="shared" si="35"/>
        <v>0</v>
      </c>
      <c r="AG45" s="417">
        <f t="shared" si="35"/>
        <v>0</v>
      </c>
      <c r="AH45" s="418">
        <f t="shared" si="30"/>
        <v>0</v>
      </c>
      <c r="AI45" s="146"/>
      <c r="AJ45" s="146"/>
      <c r="AL45" s="12"/>
    </row>
    <row r="46" spans="2:44" ht="15" thickBot="1" x14ac:dyDescent="0.35">
      <c r="B46" s="15"/>
      <c r="C46" s="129">
        <f t="shared" si="28"/>
        <v>6</v>
      </c>
      <c r="D46" s="422">
        <f>W16</f>
        <v>0</v>
      </c>
      <c r="E46" s="425"/>
      <c r="F46" s="425"/>
      <c r="G46" s="422">
        <f t="shared" si="31"/>
        <v>0</v>
      </c>
      <c r="H46" s="426"/>
      <c r="I46" s="417">
        <f t="shared" ref="I46:AG46" si="36">IF($I16&gt;=25,$G46,IF(I$40&lt;=$I16,$G46,IF(I$40&lt;=($I16*($AE16+1)),$G46,0)))</f>
        <v>0</v>
      </c>
      <c r="J46" s="417">
        <f t="shared" si="36"/>
        <v>0</v>
      </c>
      <c r="K46" s="417">
        <f t="shared" si="36"/>
        <v>0</v>
      </c>
      <c r="L46" s="417">
        <f t="shared" si="36"/>
        <v>0</v>
      </c>
      <c r="M46" s="417">
        <f t="shared" si="36"/>
        <v>0</v>
      </c>
      <c r="N46" s="417">
        <f t="shared" si="36"/>
        <v>0</v>
      </c>
      <c r="O46" s="417">
        <f t="shared" si="36"/>
        <v>0</v>
      </c>
      <c r="P46" s="417">
        <f t="shared" si="36"/>
        <v>0</v>
      </c>
      <c r="Q46" s="417">
        <f t="shared" si="36"/>
        <v>0</v>
      </c>
      <c r="R46" s="417">
        <f t="shared" si="36"/>
        <v>0</v>
      </c>
      <c r="S46" s="417">
        <f t="shared" si="36"/>
        <v>0</v>
      </c>
      <c r="T46" s="417">
        <f t="shared" si="36"/>
        <v>0</v>
      </c>
      <c r="U46" s="417">
        <f t="shared" si="36"/>
        <v>0</v>
      </c>
      <c r="V46" s="417">
        <f t="shared" si="36"/>
        <v>0</v>
      </c>
      <c r="W46" s="417">
        <f t="shared" si="36"/>
        <v>0</v>
      </c>
      <c r="X46" s="417">
        <f t="shared" si="36"/>
        <v>0</v>
      </c>
      <c r="Y46" s="417">
        <f t="shared" si="36"/>
        <v>0</v>
      </c>
      <c r="Z46" s="417">
        <f t="shared" si="36"/>
        <v>0</v>
      </c>
      <c r="AA46" s="417">
        <f t="shared" si="36"/>
        <v>0</v>
      </c>
      <c r="AB46" s="417">
        <f t="shared" si="36"/>
        <v>0</v>
      </c>
      <c r="AC46" s="417">
        <f t="shared" si="36"/>
        <v>0</v>
      </c>
      <c r="AD46" s="417">
        <f t="shared" si="36"/>
        <v>0</v>
      </c>
      <c r="AE46" s="417">
        <f t="shared" si="36"/>
        <v>0</v>
      </c>
      <c r="AF46" s="417">
        <f t="shared" si="36"/>
        <v>0</v>
      </c>
      <c r="AG46" s="417">
        <f t="shared" si="36"/>
        <v>0</v>
      </c>
      <c r="AH46" s="418">
        <f t="shared" si="30"/>
        <v>0</v>
      </c>
      <c r="AI46" s="146"/>
      <c r="AJ46" s="146"/>
      <c r="AL46" s="12"/>
    </row>
    <row r="47" spans="2:44" ht="15" thickBot="1" x14ac:dyDescent="0.35">
      <c r="B47" s="15"/>
      <c r="C47" s="129">
        <f t="shared" si="28"/>
        <v>7</v>
      </c>
      <c r="D47" s="422">
        <f>W17</f>
        <v>0</v>
      </c>
      <c r="E47" s="425"/>
      <c r="F47" s="425"/>
      <c r="G47" s="422">
        <f t="shared" si="31"/>
        <v>0</v>
      </c>
      <c r="H47" s="426"/>
      <c r="I47" s="417">
        <f t="shared" ref="I47:AG47" si="37">IF($I17&gt;=25,$G47,IF(I$40&lt;=$I17,$G47,IF(I$40&lt;=($I17*($AE17+1)),$G47,0)))</f>
        <v>0</v>
      </c>
      <c r="J47" s="417">
        <f t="shared" si="37"/>
        <v>0</v>
      </c>
      <c r="K47" s="417">
        <f t="shared" si="37"/>
        <v>0</v>
      </c>
      <c r="L47" s="417">
        <f t="shared" si="37"/>
        <v>0</v>
      </c>
      <c r="M47" s="417">
        <f t="shared" si="37"/>
        <v>0</v>
      </c>
      <c r="N47" s="417">
        <f t="shared" si="37"/>
        <v>0</v>
      </c>
      <c r="O47" s="417">
        <f t="shared" si="37"/>
        <v>0</v>
      </c>
      <c r="P47" s="417">
        <f t="shared" si="37"/>
        <v>0</v>
      </c>
      <c r="Q47" s="417">
        <f t="shared" si="37"/>
        <v>0</v>
      </c>
      <c r="R47" s="417">
        <f t="shared" si="37"/>
        <v>0</v>
      </c>
      <c r="S47" s="417">
        <f t="shared" si="37"/>
        <v>0</v>
      </c>
      <c r="T47" s="417">
        <f t="shared" si="37"/>
        <v>0</v>
      </c>
      <c r="U47" s="417">
        <f t="shared" si="37"/>
        <v>0</v>
      </c>
      <c r="V47" s="417">
        <f t="shared" si="37"/>
        <v>0</v>
      </c>
      <c r="W47" s="417">
        <f t="shared" si="37"/>
        <v>0</v>
      </c>
      <c r="X47" s="417">
        <f t="shared" si="37"/>
        <v>0</v>
      </c>
      <c r="Y47" s="417">
        <f t="shared" si="37"/>
        <v>0</v>
      </c>
      <c r="Z47" s="417">
        <f t="shared" si="37"/>
        <v>0</v>
      </c>
      <c r="AA47" s="417">
        <f t="shared" si="37"/>
        <v>0</v>
      </c>
      <c r="AB47" s="417">
        <f t="shared" si="37"/>
        <v>0</v>
      </c>
      <c r="AC47" s="417">
        <f t="shared" si="37"/>
        <v>0</v>
      </c>
      <c r="AD47" s="417">
        <f t="shared" si="37"/>
        <v>0</v>
      </c>
      <c r="AE47" s="417">
        <f t="shared" si="37"/>
        <v>0</v>
      </c>
      <c r="AF47" s="417">
        <f t="shared" si="37"/>
        <v>0</v>
      </c>
      <c r="AG47" s="417">
        <f t="shared" si="37"/>
        <v>0</v>
      </c>
      <c r="AH47" s="418">
        <f t="shared" si="30"/>
        <v>0</v>
      </c>
      <c r="AI47" s="146"/>
      <c r="AJ47" s="146"/>
      <c r="AL47" s="12"/>
    </row>
    <row r="48" spans="2:44" ht="15" thickBot="1" x14ac:dyDescent="0.35">
      <c r="B48" s="15"/>
      <c r="C48" s="129">
        <f t="shared" si="28"/>
        <v>8</v>
      </c>
      <c r="D48" s="422">
        <f>W19</f>
        <v>0</v>
      </c>
      <c r="E48" s="425"/>
      <c r="F48" s="425"/>
      <c r="G48" s="422">
        <f t="shared" si="31"/>
        <v>0</v>
      </c>
      <c r="H48" s="426"/>
      <c r="I48" s="417">
        <f t="shared" ref="I48:AG48" si="38">IF($I19&gt;=25,$G48,IF(I$40&lt;=$I19,$G48,IF(I$40&lt;=($I19*($AE19+1)),$G48,0)))</f>
        <v>0</v>
      </c>
      <c r="J48" s="417">
        <f t="shared" si="38"/>
        <v>0</v>
      </c>
      <c r="K48" s="417">
        <f t="shared" si="38"/>
        <v>0</v>
      </c>
      <c r="L48" s="417">
        <f t="shared" si="38"/>
        <v>0</v>
      </c>
      <c r="M48" s="417">
        <f t="shared" si="38"/>
        <v>0</v>
      </c>
      <c r="N48" s="417">
        <f t="shared" si="38"/>
        <v>0</v>
      </c>
      <c r="O48" s="417">
        <f t="shared" si="38"/>
        <v>0</v>
      </c>
      <c r="P48" s="417">
        <f t="shared" si="38"/>
        <v>0</v>
      </c>
      <c r="Q48" s="417">
        <f t="shared" si="38"/>
        <v>0</v>
      </c>
      <c r="R48" s="417">
        <f t="shared" si="38"/>
        <v>0</v>
      </c>
      <c r="S48" s="417">
        <f t="shared" si="38"/>
        <v>0</v>
      </c>
      <c r="T48" s="417">
        <f t="shared" si="38"/>
        <v>0</v>
      </c>
      <c r="U48" s="417">
        <f t="shared" si="38"/>
        <v>0</v>
      </c>
      <c r="V48" s="417">
        <f t="shared" si="38"/>
        <v>0</v>
      </c>
      <c r="W48" s="417">
        <f t="shared" si="38"/>
        <v>0</v>
      </c>
      <c r="X48" s="417">
        <f t="shared" si="38"/>
        <v>0</v>
      </c>
      <c r="Y48" s="417">
        <f t="shared" si="38"/>
        <v>0</v>
      </c>
      <c r="Z48" s="417">
        <f t="shared" si="38"/>
        <v>0</v>
      </c>
      <c r="AA48" s="417">
        <f t="shared" si="38"/>
        <v>0</v>
      </c>
      <c r="AB48" s="417">
        <f t="shared" si="38"/>
        <v>0</v>
      </c>
      <c r="AC48" s="417">
        <f t="shared" si="38"/>
        <v>0</v>
      </c>
      <c r="AD48" s="417">
        <f t="shared" si="38"/>
        <v>0</v>
      </c>
      <c r="AE48" s="417">
        <f t="shared" si="38"/>
        <v>0</v>
      </c>
      <c r="AF48" s="417">
        <f t="shared" si="38"/>
        <v>0</v>
      </c>
      <c r="AG48" s="417">
        <f t="shared" si="38"/>
        <v>0</v>
      </c>
      <c r="AH48" s="418">
        <f t="shared" si="30"/>
        <v>0</v>
      </c>
      <c r="AI48" s="146"/>
      <c r="AJ48" s="146"/>
      <c r="AL48" s="12"/>
    </row>
    <row r="49" spans="2:38" ht="14.25" customHeight="1" thickBot="1" x14ac:dyDescent="0.35">
      <c r="B49" s="15"/>
      <c r="C49" s="129">
        <f t="shared" si="28"/>
        <v>9</v>
      </c>
      <c r="D49" s="422">
        <f>W20</f>
        <v>0</v>
      </c>
      <c r="E49" s="425"/>
      <c r="F49" s="425"/>
      <c r="G49" s="422">
        <f t="shared" si="31"/>
        <v>0</v>
      </c>
      <c r="H49" s="426"/>
      <c r="I49" s="417">
        <f t="shared" ref="I49:AG49" si="39">IF($I20&gt;=25,$G49,IF(I$40&lt;=$I20,$G49,IF(I$40&lt;=($I20*($AE20+1)),$G49,0)))</f>
        <v>0</v>
      </c>
      <c r="J49" s="417">
        <f t="shared" si="39"/>
        <v>0</v>
      </c>
      <c r="K49" s="417">
        <f t="shared" si="39"/>
        <v>0</v>
      </c>
      <c r="L49" s="417">
        <f t="shared" si="39"/>
        <v>0</v>
      </c>
      <c r="M49" s="417">
        <f t="shared" si="39"/>
        <v>0</v>
      </c>
      <c r="N49" s="417">
        <f t="shared" si="39"/>
        <v>0</v>
      </c>
      <c r="O49" s="417">
        <f t="shared" si="39"/>
        <v>0</v>
      </c>
      <c r="P49" s="417">
        <f t="shared" si="39"/>
        <v>0</v>
      </c>
      <c r="Q49" s="417">
        <f t="shared" si="39"/>
        <v>0</v>
      </c>
      <c r="R49" s="417">
        <f t="shared" si="39"/>
        <v>0</v>
      </c>
      <c r="S49" s="417">
        <f t="shared" si="39"/>
        <v>0</v>
      </c>
      <c r="T49" s="417">
        <f t="shared" si="39"/>
        <v>0</v>
      </c>
      <c r="U49" s="417">
        <f t="shared" si="39"/>
        <v>0</v>
      </c>
      <c r="V49" s="417">
        <f t="shared" si="39"/>
        <v>0</v>
      </c>
      <c r="W49" s="417">
        <f t="shared" si="39"/>
        <v>0</v>
      </c>
      <c r="X49" s="417">
        <f t="shared" si="39"/>
        <v>0</v>
      </c>
      <c r="Y49" s="417">
        <f t="shared" si="39"/>
        <v>0</v>
      </c>
      <c r="Z49" s="417">
        <f t="shared" si="39"/>
        <v>0</v>
      </c>
      <c r="AA49" s="417">
        <f t="shared" si="39"/>
        <v>0</v>
      </c>
      <c r="AB49" s="417">
        <f t="shared" si="39"/>
        <v>0</v>
      </c>
      <c r="AC49" s="417">
        <f t="shared" si="39"/>
        <v>0</v>
      </c>
      <c r="AD49" s="417">
        <f t="shared" si="39"/>
        <v>0</v>
      </c>
      <c r="AE49" s="417">
        <f t="shared" si="39"/>
        <v>0</v>
      </c>
      <c r="AF49" s="417">
        <f t="shared" si="39"/>
        <v>0</v>
      </c>
      <c r="AG49" s="417">
        <f t="shared" si="39"/>
        <v>0</v>
      </c>
      <c r="AH49" s="419">
        <f>SUM(O49:AG49)</f>
        <v>0</v>
      </c>
      <c r="AI49" s="146"/>
      <c r="AJ49" s="146"/>
      <c r="AL49" s="12"/>
    </row>
    <row r="50" spans="2:38" ht="15" thickBot="1" x14ac:dyDescent="0.35">
      <c r="B50" s="15"/>
      <c r="C50" s="131"/>
      <c r="D50" s="128"/>
      <c r="E50" s="128"/>
      <c r="F50" s="128"/>
      <c r="G50" s="116"/>
      <c r="H50" s="120" t="s">
        <v>54</v>
      </c>
      <c r="I50" s="122">
        <f t="shared" ref="I50:AG50" si="40">SUM(I41:I49)</f>
        <v>0</v>
      </c>
      <c r="J50" s="122">
        <f t="shared" si="40"/>
        <v>0</v>
      </c>
      <c r="K50" s="122">
        <f t="shared" si="40"/>
        <v>0</v>
      </c>
      <c r="L50" s="122">
        <f t="shared" si="40"/>
        <v>0</v>
      </c>
      <c r="M50" s="122">
        <f t="shared" si="40"/>
        <v>0</v>
      </c>
      <c r="N50" s="122">
        <f t="shared" si="40"/>
        <v>0</v>
      </c>
      <c r="O50" s="122">
        <f t="shared" si="40"/>
        <v>0</v>
      </c>
      <c r="P50" s="122">
        <f t="shared" si="40"/>
        <v>0</v>
      </c>
      <c r="Q50" s="122">
        <f t="shared" si="40"/>
        <v>0</v>
      </c>
      <c r="R50" s="122">
        <f t="shared" si="40"/>
        <v>0</v>
      </c>
      <c r="S50" s="122">
        <f t="shared" si="40"/>
        <v>0</v>
      </c>
      <c r="T50" s="122">
        <f t="shared" si="40"/>
        <v>0</v>
      </c>
      <c r="U50" s="122">
        <f t="shared" si="40"/>
        <v>0</v>
      </c>
      <c r="V50" s="122">
        <f t="shared" si="40"/>
        <v>0</v>
      </c>
      <c r="W50" s="122">
        <f t="shared" si="40"/>
        <v>0</v>
      </c>
      <c r="X50" s="122">
        <f t="shared" si="40"/>
        <v>0</v>
      </c>
      <c r="Y50" s="122">
        <f t="shared" si="40"/>
        <v>0</v>
      </c>
      <c r="Z50" s="122">
        <f t="shared" si="40"/>
        <v>0</v>
      </c>
      <c r="AA50" s="122">
        <f t="shared" si="40"/>
        <v>0</v>
      </c>
      <c r="AB50" s="122">
        <f t="shared" si="40"/>
        <v>0</v>
      </c>
      <c r="AC50" s="122">
        <f t="shared" si="40"/>
        <v>0</v>
      </c>
      <c r="AD50" s="122">
        <f t="shared" si="40"/>
        <v>0</v>
      </c>
      <c r="AE50" s="122">
        <f t="shared" si="40"/>
        <v>0</v>
      </c>
      <c r="AF50" s="122">
        <f t="shared" si="40"/>
        <v>0</v>
      </c>
      <c r="AG50" s="122">
        <f t="shared" si="40"/>
        <v>0</v>
      </c>
      <c r="AH50" s="132">
        <f>SUM(AH41:AH49)</f>
        <v>0</v>
      </c>
      <c r="AI50" s="146"/>
      <c r="AJ50" s="146"/>
      <c r="AL50" s="12"/>
    </row>
    <row r="51" spans="2:38" ht="15.75" customHeight="1" thickBot="1" x14ac:dyDescent="0.35">
      <c r="B51" s="15"/>
      <c r="C51" s="133"/>
      <c r="D51" s="134"/>
      <c r="E51" s="134"/>
      <c r="F51" s="134"/>
      <c r="G51" s="134"/>
      <c r="H51" s="134"/>
      <c r="I51" s="996"/>
      <c r="J51" s="996"/>
      <c r="K51" s="996"/>
      <c r="L51" s="996"/>
      <c r="M51" s="996"/>
      <c r="N51" s="996"/>
      <c r="O51" s="996"/>
      <c r="P51" s="996"/>
      <c r="Q51" s="996"/>
      <c r="R51" s="996"/>
      <c r="S51" s="996"/>
      <c r="T51" s="996"/>
      <c r="U51" s="996"/>
      <c r="V51" s="996"/>
      <c r="W51" s="996"/>
      <c r="X51" s="996"/>
      <c r="Y51" s="996"/>
      <c r="Z51" s="996"/>
      <c r="AA51" s="996"/>
      <c r="AB51" s="996"/>
      <c r="AC51" s="996"/>
      <c r="AD51" s="996"/>
      <c r="AE51" s="996"/>
      <c r="AF51" s="996"/>
      <c r="AG51" s="996"/>
      <c r="AH51" s="996"/>
      <c r="AI51" s="146"/>
      <c r="AJ51" s="146"/>
      <c r="AL51" s="12"/>
    </row>
    <row r="52" spans="2:38" ht="24.75" customHeight="1" x14ac:dyDescent="0.3">
      <c r="B52" s="15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46"/>
      <c r="AJ52" s="146"/>
      <c r="AL52" s="12"/>
    </row>
    <row r="53" spans="2:38" x14ac:dyDescent="0.3">
      <c r="B53" s="15"/>
      <c r="C53" s="2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46"/>
      <c r="AJ53" s="146"/>
      <c r="AL53" s="12"/>
    </row>
    <row r="54" spans="2:38" x14ac:dyDescent="0.3">
      <c r="B54" s="15"/>
      <c r="C54" s="2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46"/>
      <c r="AJ54" s="146"/>
      <c r="AL54" s="12"/>
    </row>
    <row r="55" spans="2:38" ht="15" thickBot="1" x14ac:dyDescent="0.35">
      <c r="B55" s="139"/>
      <c r="C55" s="313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46"/>
      <c r="AJ55" s="246"/>
      <c r="AK55" s="246"/>
      <c r="AL55" s="30"/>
    </row>
    <row r="56" spans="2:38" x14ac:dyDescent="0.3">
      <c r="AB56" s="3"/>
      <c r="AC56" s="3"/>
      <c r="AJ56" s="76"/>
    </row>
    <row r="57" spans="2:38" x14ac:dyDescent="0.3">
      <c r="AB57" s="3"/>
      <c r="AC57" s="3"/>
      <c r="AJ57" s="76"/>
    </row>
    <row r="58" spans="2:38" x14ac:dyDescent="0.3">
      <c r="AJ58" s="76"/>
    </row>
    <row r="59" spans="2:38" x14ac:dyDescent="0.3">
      <c r="AJ59" s="76"/>
    </row>
    <row r="60" spans="2:38" x14ac:dyDescent="0.3">
      <c r="AJ60" s="76"/>
    </row>
    <row r="61" spans="2:38" x14ac:dyDescent="0.3">
      <c r="AJ61" s="76"/>
    </row>
    <row r="62" spans="2:38" x14ac:dyDescent="0.3">
      <c r="AJ62" s="76"/>
    </row>
    <row r="63" spans="2:38" x14ac:dyDescent="0.3">
      <c r="AJ63" s="76"/>
    </row>
    <row r="64" spans="2:38" x14ac:dyDescent="0.3">
      <c r="AJ64" s="76"/>
    </row>
    <row r="65" spans="36:36" x14ac:dyDescent="0.3">
      <c r="AJ65" s="76"/>
    </row>
    <row r="66" spans="36:36" x14ac:dyDescent="0.3">
      <c r="AJ66" s="76"/>
    </row>
    <row r="67" spans="36:36" x14ac:dyDescent="0.3">
      <c r="AJ67" s="76"/>
    </row>
    <row r="68" spans="36:36" x14ac:dyDescent="0.3">
      <c r="AJ68" s="76"/>
    </row>
    <row r="69" spans="36:36" x14ac:dyDescent="0.3">
      <c r="AJ69" s="76"/>
    </row>
    <row r="70" spans="36:36" x14ac:dyDescent="0.3">
      <c r="AJ70" s="76"/>
    </row>
    <row r="71" spans="36:36" x14ac:dyDescent="0.3">
      <c r="AJ71" s="76"/>
    </row>
    <row r="72" spans="36:36" x14ac:dyDescent="0.3">
      <c r="AJ72" s="76"/>
    </row>
    <row r="73" spans="36:36" x14ac:dyDescent="0.3">
      <c r="AJ73" s="76"/>
    </row>
    <row r="74" spans="36:36" x14ac:dyDescent="0.3">
      <c r="AJ74" s="76"/>
    </row>
    <row r="75" spans="36:36" x14ac:dyDescent="0.3">
      <c r="AJ75" s="76"/>
    </row>
    <row r="76" spans="36:36" x14ac:dyDescent="0.3">
      <c r="AJ76" s="76"/>
    </row>
    <row r="77" spans="36:36" x14ac:dyDescent="0.3">
      <c r="AJ77" s="76"/>
    </row>
    <row r="78" spans="36:36" x14ac:dyDescent="0.3">
      <c r="AJ78" s="76"/>
    </row>
    <row r="79" spans="36:36" x14ac:dyDescent="0.3">
      <c r="AJ79" s="76"/>
    </row>
    <row r="80" spans="36:36" x14ac:dyDescent="0.3">
      <c r="AJ80" s="76"/>
    </row>
    <row r="81" spans="36:36" x14ac:dyDescent="0.3">
      <c r="AJ81" s="76"/>
    </row>
    <row r="82" spans="36:36" x14ac:dyDescent="0.3">
      <c r="AJ82" s="76"/>
    </row>
    <row r="83" spans="36:36" x14ac:dyDescent="0.3">
      <c r="AJ83" s="76"/>
    </row>
    <row r="84" spans="36:36" x14ac:dyDescent="0.3">
      <c r="AJ84" s="76"/>
    </row>
    <row r="85" spans="36:36" x14ac:dyDescent="0.3">
      <c r="AJ85" s="76"/>
    </row>
    <row r="86" spans="36:36" x14ac:dyDescent="0.3">
      <c r="AJ86" s="76"/>
    </row>
    <row r="87" spans="36:36" x14ac:dyDescent="0.3">
      <c r="AJ87" s="76"/>
    </row>
    <row r="88" spans="36:36" x14ac:dyDescent="0.3">
      <c r="AJ88" s="76"/>
    </row>
    <row r="89" spans="36:36" x14ac:dyDescent="0.3">
      <c r="AJ89" s="76"/>
    </row>
    <row r="91" spans="36:36" x14ac:dyDescent="0.3">
      <c r="AJ91" s="76"/>
    </row>
    <row r="93" spans="36:36" x14ac:dyDescent="0.3">
      <c r="AJ93" s="76"/>
    </row>
    <row r="95" spans="36:36" x14ac:dyDescent="0.3">
      <c r="AJ95" s="76"/>
    </row>
    <row r="97" spans="36:36" x14ac:dyDescent="0.3">
      <c r="AJ97" s="76"/>
    </row>
    <row r="99" spans="36:36" x14ac:dyDescent="0.3">
      <c r="AJ99" s="76"/>
    </row>
    <row r="101" spans="36:36" x14ac:dyDescent="0.3">
      <c r="AJ101" s="76"/>
    </row>
    <row r="103" spans="36:36" x14ac:dyDescent="0.3">
      <c r="AJ103" s="76"/>
    </row>
    <row r="104" spans="36:36" x14ac:dyDescent="0.3">
      <c r="AJ104" s="3">
        <v>76</v>
      </c>
    </row>
    <row r="105" spans="36:36" x14ac:dyDescent="0.3">
      <c r="AJ105" s="76">
        <v>77</v>
      </c>
    </row>
    <row r="106" spans="36:36" x14ac:dyDescent="0.3">
      <c r="AJ106" s="3">
        <v>78</v>
      </c>
    </row>
  </sheetData>
  <sheetProtection algorithmName="SHA-512" hashValue="u7F+KlEluynqvHHue8o3E+VsHjbjz+Z0p6QZSBmONrxNrNDZKkxuoau/x6NRPRuKEi4DlwMBdEq5M4EejkSHAA==" saltValue="LsUht2r/+VSoHFx/VHdqoA==" spinCount="100000" sheet="1" objects="1" scenarios="1" insertRows="0" selectLockedCells="1"/>
  <protectedRanges>
    <protectedRange sqref="R15:V17 AC15:AE17 D15:H15 AG15:AH17 D16:N17 D10:H13 AG10:AH13 AC10:AE13 R10:V13 J10:N13 J15:N15 R20:V20 AC19:AE20 AG19:AH20 D20:N20 E19 G19:N19 R19 U19:V19" name="Folha4"/>
    <protectedRange sqref="D19" name="Folha4_2"/>
    <protectedRange sqref="F19" name="Folha4_3"/>
    <protectedRange sqref="S19:T19" name="Folha4_5"/>
  </protectedRanges>
  <mergeCells count="19">
    <mergeCell ref="R7:W7"/>
    <mergeCell ref="Z7:AA7"/>
    <mergeCell ref="AG6:AK6"/>
    <mergeCell ref="R6:AF6"/>
    <mergeCell ref="C3:E3"/>
    <mergeCell ref="C4:H4"/>
    <mergeCell ref="C5:E5"/>
    <mergeCell ref="J6:Q6"/>
    <mergeCell ref="C14:E14"/>
    <mergeCell ref="C9:E9"/>
    <mergeCell ref="J7:O7"/>
    <mergeCell ref="C18:E18"/>
    <mergeCell ref="C22:D22"/>
    <mergeCell ref="I51:AH51"/>
    <mergeCell ref="G28:H28"/>
    <mergeCell ref="G40:H40"/>
    <mergeCell ref="C23:D23"/>
    <mergeCell ref="I26:AH26"/>
    <mergeCell ref="I27:AG2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'16. Fatores de conversão'!$M$2:$M$3</xm:f>
          </x14:formula1>
          <xm:sqref>E10:E13 E15:E17 E19:E20</xm:sqref>
        </x14:dataValidation>
        <x14:dataValidation type="list" allowBlank="1" showInputMessage="1" showErrorMessage="1">
          <x14:formula1>
            <xm:f>'15. Valores-Padrão'!$C$19:$C$28</xm:f>
          </x14:formula1>
          <xm:sqref>F10:F13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W108"/>
  <sheetViews>
    <sheetView showGridLines="0" topLeftCell="A13" zoomScaleNormal="100" workbookViewId="0">
      <selection activeCell="I16" sqref="I16"/>
    </sheetView>
  </sheetViews>
  <sheetFormatPr defaultColWidth="9.109375" defaultRowHeight="14.4" x14ac:dyDescent="0.3"/>
  <cols>
    <col min="1" max="2" width="9.109375" style="3"/>
    <col min="3" max="3" width="11.5546875" style="1" customWidth="1"/>
    <col min="4" max="4" width="37.6640625" style="3" bestFit="1" customWidth="1"/>
    <col min="5" max="5" width="21.6640625" style="3" customWidth="1"/>
    <col min="6" max="6" width="62.33203125" style="3" customWidth="1"/>
    <col min="7" max="28" width="13.5546875" style="3" customWidth="1"/>
    <col min="29" max="30" width="13.5546875" style="4" customWidth="1"/>
    <col min="31" max="33" width="13.5546875" style="3" customWidth="1"/>
    <col min="34" max="34" width="17.109375" style="3" customWidth="1"/>
    <col min="35" max="37" width="13.5546875" style="3" customWidth="1"/>
    <col min="38" max="38" width="25.6640625" style="3" customWidth="1"/>
    <col min="39" max="42" width="18.5546875" style="3" customWidth="1"/>
    <col min="43" max="46" width="11.33203125" style="3" customWidth="1"/>
    <col min="47" max="16384" width="9.109375" style="3"/>
  </cols>
  <sheetData>
    <row r="1" spans="2:49" ht="15.75" thickBot="1" x14ac:dyDescent="0.3"/>
    <row r="2" spans="2:49" ht="15" x14ac:dyDescent="0.25">
      <c r="B2" s="55"/>
      <c r="C2" s="5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57"/>
      <c r="AD2" s="57"/>
      <c r="AE2" s="7"/>
      <c r="AF2" s="7"/>
      <c r="AG2" s="7"/>
      <c r="AH2" s="7"/>
      <c r="AI2" s="7"/>
      <c r="AJ2" s="7"/>
      <c r="AK2" s="8"/>
    </row>
    <row r="3" spans="2:49" ht="21" x14ac:dyDescent="0.25">
      <c r="B3" s="15"/>
      <c r="C3" s="937" t="s">
        <v>33</v>
      </c>
      <c r="D3" s="937"/>
      <c r="E3" s="937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K3" s="12"/>
    </row>
    <row r="4" spans="2:49" ht="50.25" customHeight="1" x14ac:dyDescent="0.3">
      <c r="B4" s="15"/>
      <c r="C4" s="985" t="s">
        <v>263</v>
      </c>
      <c r="D4" s="985"/>
      <c r="E4" s="985"/>
      <c r="F4" s="985"/>
      <c r="G4" s="985"/>
      <c r="H4" s="98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36"/>
      <c r="AD4" s="36"/>
      <c r="AE4" s="11"/>
      <c r="AF4" s="11"/>
      <c r="AG4" s="11"/>
      <c r="AH4" s="11"/>
      <c r="AK4" s="12"/>
    </row>
    <row r="5" spans="2:49" ht="38.25" customHeight="1" thickBot="1" x14ac:dyDescent="0.35">
      <c r="B5" s="15"/>
      <c r="C5" s="986" t="s">
        <v>35</v>
      </c>
      <c r="D5" s="986"/>
      <c r="E5" s="986"/>
      <c r="F5" s="58"/>
      <c r="G5" s="58"/>
      <c r="H5" s="58"/>
      <c r="I5" s="11"/>
      <c r="J5" s="11"/>
      <c r="K5" s="11"/>
      <c r="L5" s="11"/>
      <c r="M5" s="11"/>
      <c r="N5" s="11"/>
      <c r="O5" s="11"/>
      <c r="AK5" s="12"/>
      <c r="AL5" s="11"/>
      <c r="AM5" s="11"/>
      <c r="AN5" s="11"/>
      <c r="AO5" s="11"/>
      <c r="AP5" s="11"/>
    </row>
    <row r="6" spans="2:49" s="63" customFormat="1" ht="15" customHeight="1" thickBot="1" x14ac:dyDescent="0.35">
      <c r="B6" s="59"/>
      <c r="C6" s="60"/>
      <c r="D6" s="61"/>
      <c r="E6" s="61"/>
      <c r="F6" s="61"/>
      <c r="G6" s="61"/>
      <c r="H6" s="61"/>
      <c r="I6" s="1000" t="s">
        <v>12</v>
      </c>
      <c r="J6" s="1001"/>
      <c r="K6" s="1001"/>
      <c r="L6" s="1001"/>
      <c r="M6" s="1001"/>
      <c r="N6" s="1001"/>
      <c r="O6" s="1001"/>
      <c r="P6" s="1002"/>
      <c r="Q6" s="1000" t="s">
        <v>15</v>
      </c>
      <c r="R6" s="1001"/>
      <c r="S6" s="1001"/>
      <c r="T6" s="1001"/>
      <c r="U6" s="1001"/>
      <c r="V6" s="1001"/>
      <c r="W6" s="1001"/>
      <c r="X6" s="1001"/>
      <c r="Y6" s="1001"/>
      <c r="Z6" s="1001"/>
      <c r="AA6" s="1001"/>
      <c r="AB6" s="1001"/>
      <c r="AC6" s="1001"/>
      <c r="AD6" s="1001"/>
      <c r="AE6" s="1002"/>
      <c r="AF6" s="968" t="s">
        <v>0</v>
      </c>
      <c r="AG6" s="969"/>
      <c r="AH6" s="969"/>
      <c r="AI6" s="969"/>
      <c r="AJ6" s="970"/>
      <c r="AK6" s="62"/>
      <c r="AL6" s="61"/>
      <c r="AM6" s="61"/>
      <c r="AN6" s="61"/>
      <c r="AO6" s="61"/>
      <c r="AP6" s="61"/>
    </row>
    <row r="7" spans="2:49" s="76" customFormat="1" ht="51.75" customHeight="1" thickBot="1" x14ac:dyDescent="0.35">
      <c r="B7" s="64"/>
      <c r="C7" s="65"/>
      <c r="D7" s="66"/>
      <c r="E7" s="66"/>
      <c r="F7" s="66"/>
      <c r="G7" s="67" t="s">
        <v>232</v>
      </c>
      <c r="H7" s="68" t="s">
        <v>14</v>
      </c>
      <c r="I7" s="979" t="s">
        <v>171</v>
      </c>
      <c r="J7" s="980"/>
      <c r="K7" s="980"/>
      <c r="L7" s="980"/>
      <c r="M7" s="980"/>
      <c r="N7" s="980"/>
      <c r="O7" s="69" t="s">
        <v>207</v>
      </c>
      <c r="P7" s="797" t="s">
        <v>175</v>
      </c>
      <c r="Q7" s="979" t="s">
        <v>180</v>
      </c>
      <c r="R7" s="980"/>
      <c r="S7" s="980"/>
      <c r="T7" s="980"/>
      <c r="U7" s="980"/>
      <c r="V7" s="980"/>
      <c r="W7" s="797" t="s">
        <v>118</v>
      </c>
      <c r="X7" s="612" t="s">
        <v>2</v>
      </c>
      <c r="Y7" s="981" t="s">
        <v>3</v>
      </c>
      <c r="Z7" s="981"/>
      <c r="AA7" s="612" t="s">
        <v>182</v>
      </c>
      <c r="AB7" s="71" t="s">
        <v>183</v>
      </c>
      <c r="AC7" s="72" t="s">
        <v>119</v>
      </c>
      <c r="AD7" s="73" t="s">
        <v>187</v>
      </c>
      <c r="AE7" s="795" t="s">
        <v>188</v>
      </c>
      <c r="AF7" s="75" t="s">
        <v>194</v>
      </c>
      <c r="AG7" s="72" t="s">
        <v>142</v>
      </c>
      <c r="AH7" s="612" t="s">
        <v>245</v>
      </c>
      <c r="AI7" s="612" t="s">
        <v>50</v>
      </c>
      <c r="AJ7" s="795" t="s">
        <v>1</v>
      </c>
      <c r="AK7" s="62"/>
      <c r="AR7" s="66"/>
      <c r="AS7" s="66"/>
      <c r="AT7" s="66"/>
      <c r="AU7" s="66"/>
      <c r="AV7" s="66"/>
      <c r="AW7" s="66"/>
    </row>
    <row r="8" spans="2:49" s="76" customFormat="1" ht="63" customHeight="1" x14ac:dyDescent="0.3">
      <c r="B8" s="64"/>
      <c r="C8" s="77" t="s">
        <v>10</v>
      </c>
      <c r="D8" s="78" t="s">
        <v>11</v>
      </c>
      <c r="E8" s="79" t="s">
        <v>238</v>
      </c>
      <c r="F8" s="78" t="s">
        <v>37</v>
      </c>
      <c r="G8" s="80" t="s">
        <v>302</v>
      </c>
      <c r="H8" s="613" t="s">
        <v>131</v>
      </c>
      <c r="I8" s="81" t="str">
        <f>'1. Identificação Ben. Oper.'!D50</f>
        <v>Energia Elétrica</v>
      </c>
      <c r="J8" s="837" t="str">
        <f>IF('1. Identificação Ben. Oper.'!E50="","",'1. Identificação Ben. Oper.'!E50)</f>
        <v>Gás Natural</v>
      </c>
      <c r="K8" s="384" t="str">
        <f>IF('1. Identificação Ben. Oper.'!F50="","",'1. Identificação Ben. Oper.'!F50)</f>
        <v/>
      </c>
      <c r="L8" s="384" t="str">
        <f>IF('1. Identificação Ben. Oper.'!G50="","",'1. Identificação Ben. Oper.'!G50)</f>
        <v/>
      </c>
      <c r="M8" s="384" t="str">
        <f>IF('1. Identificação Ben. Oper.'!H50="","",'1. Identificação Ben. Oper.'!H50)</f>
        <v/>
      </c>
      <c r="N8" s="82" t="s">
        <v>85</v>
      </c>
      <c r="O8" s="82" t="s">
        <v>4</v>
      </c>
      <c r="P8" s="82" t="s">
        <v>5</v>
      </c>
      <c r="Q8" s="81" t="str">
        <f t="shared" ref="Q8:V8" si="0">+I8</f>
        <v>Energia Elétrica</v>
      </c>
      <c r="R8" s="82" t="str">
        <f t="shared" ref="R8" si="1">+J8</f>
        <v>Gás Natural</v>
      </c>
      <c r="S8" s="82" t="str">
        <f t="shared" ref="S8" si="2">+K8</f>
        <v/>
      </c>
      <c r="T8" s="82" t="str">
        <f t="shared" ref="T8" si="3">+L8</f>
        <v/>
      </c>
      <c r="U8" s="82" t="str">
        <f t="shared" ref="U8" si="4">+M8</f>
        <v/>
      </c>
      <c r="V8" s="82" t="str">
        <f t="shared" si="0"/>
        <v>Total</v>
      </c>
      <c r="W8" s="82" t="s">
        <v>5</v>
      </c>
      <c r="X8" s="82" t="s">
        <v>6</v>
      </c>
      <c r="Y8" s="82" t="s">
        <v>181</v>
      </c>
      <c r="Z8" s="82" t="s">
        <v>4</v>
      </c>
      <c r="AA8" s="82" t="s">
        <v>7</v>
      </c>
      <c r="AB8" s="80" t="s">
        <v>5</v>
      </c>
      <c r="AC8" s="80" t="s">
        <v>116</v>
      </c>
      <c r="AD8" s="84" t="s">
        <v>186</v>
      </c>
      <c r="AE8" s="747" t="s">
        <v>120</v>
      </c>
      <c r="AF8" s="86" t="s">
        <v>116</v>
      </c>
      <c r="AG8" s="87" t="s">
        <v>116</v>
      </c>
      <c r="AH8" s="82" t="s">
        <v>116</v>
      </c>
      <c r="AI8" s="82" t="s">
        <v>116</v>
      </c>
      <c r="AJ8" s="747" t="s">
        <v>131</v>
      </c>
      <c r="AK8" s="62"/>
      <c r="AR8" s="66"/>
      <c r="AS8" s="37"/>
      <c r="AT8" s="66"/>
      <c r="AU8" s="66"/>
      <c r="AV8" s="66"/>
      <c r="AW8" s="66"/>
    </row>
    <row r="9" spans="2:49" s="76" customFormat="1" ht="36.75" customHeight="1" x14ac:dyDescent="0.3">
      <c r="B9" s="64"/>
      <c r="C9" s="989" t="s">
        <v>48</v>
      </c>
      <c r="D9" s="990"/>
      <c r="E9" s="88"/>
      <c r="F9" s="88"/>
      <c r="G9" s="88"/>
      <c r="H9" s="88"/>
      <c r="I9" s="89"/>
      <c r="J9" s="88"/>
      <c r="K9" s="88"/>
      <c r="L9" s="88"/>
      <c r="M9" s="88"/>
      <c r="N9" s="88"/>
      <c r="O9" s="88"/>
      <c r="P9" s="90"/>
      <c r="Q9" s="89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90"/>
      <c r="AF9" s="89"/>
      <c r="AG9" s="88"/>
      <c r="AH9" s="88"/>
      <c r="AI9" s="88"/>
      <c r="AJ9" s="90"/>
      <c r="AK9" s="62"/>
      <c r="AR9" s="39"/>
      <c r="AS9" s="37"/>
      <c r="AT9" s="66"/>
      <c r="AU9" s="66"/>
      <c r="AV9" s="66"/>
      <c r="AW9" s="66"/>
    </row>
    <row r="10" spans="2:49" ht="30" customHeight="1" x14ac:dyDescent="0.25">
      <c r="B10" s="15"/>
      <c r="C10" s="91">
        <v>1</v>
      </c>
      <c r="D10" s="633"/>
      <c r="E10" s="622"/>
      <c r="F10" s="648"/>
      <c r="G10" s="627"/>
      <c r="H10" s="92" t="str">
        <f>IF(F10="","",VLOOKUP(F10,'15. Valores-Padrão'!$C$30:$F$31,4,FALSE))</f>
        <v/>
      </c>
      <c r="I10" s="635"/>
      <c r="J10" s="664"/>
      <c r="K10" s="664"/>
      <c r="L10" s="664"/>
      <c r="M10" s="664"/>
      <c r="N10" s="93">
        <f>SUM(I10:M10)</f>
        <v>0</v>
      </c>
      <c r="O10" s="94">
        <f>+VLOOKUP($I$8,'16. Fatores de conversão'!$A$6:$I$14,6,FALSE)*I10+VLOOKUP($J$8,'16. Fatores de conversão'!$A$6:$I$14,6,FALSE)*J10+VLOOKUP($K$8,'16. Fatores de conversão'!$A$6:$I$14,6,FALSE)*K10+VLOOKUP($L$8,'16. Fatores de conversão'!$A$6:$I$14,6,FALSE)*L10+VLOOKUP($M$8,'16. Fatores de conversão'!$A$6:$I$14,6,FALSE)*M10</f>
        <v>0</v>
      </c>
      <c r="P10" s="603">
        <f>+SUMPRODUCT('1. Identificação Ben. Oper.'!$D$56:$H$56,I10:M10)</f>
        <v>0</v>
      </c>
      <c r="Q10" s="636"/>
      <c r="R10" s="666"/>
      <c r="S10" s="666"/>
      <c r="T10" s="666"/>
      <c r="U10" s="666"/>
      <c r="V10" s="93">
        <f>SUM(Q10:U10)</f>
        <v>0</v>
      </c>
      <c r="W10" s="603">
        <f>+SUMPRODUCT('1. Identificação Ben. Oper.'!$D$56:$H$56,Q10:U10)</f>
        <v>0</v>
      </c>
      <c r="X10" s="604">
        <f>IF(N10=0,0,V10/N10)</f>
        <v>0</v>
      </c>
      <c r="Y10" s="94">
        <f>+VLOOKUP($Q$8,'16. Fatores de conversão'!$A$6:$I$14,3,FALSE)*Q10
+VLOOKUP($R$8,'16. Fatores de conversão'!$A$6:$I$14,3,FALSE)*R10
+VLOOKUP($S$8,'16. Fatores de conversão'!$A$6:$I$14,3,FALSE)*S10
+VLOOKUP($T$8,'16. Fatores de conversão'!$A$6:$I$14,3,FALSE)*T10
+ VLOOKUP($U$8,'16. Fatores de conversão'!$A$6:$I$14,3,FALSE)*U10</f>
        <v>0</v>
      </c>
      <c r="Z10" s="94">
        <f>+VLOOKUP($Q$8,'16. Fatores de conversão'!$A$6:$I$14,6,FALSE)*Q10
+VLOOKUP($R$8,'16. Fatores de conversão'!$A$6:$I$14,6,FALSE)*R10
+VLOOKUP($S$8,'16. Fatores de conversão'!$A$6:$I$14,6,FALSE)*S10
+VLOOKUP($T$8,'16. Fatores de conversão'!$A$6:$I$14,6,FALSE)*T10
+VLOOKUP($U$8,'16. Fatores de conversão'!$A$6:$I$14,6,FALSE)*U10</f>
        <v>0</v>
      </c>
      <c r="AA10" s="94">
        <f>(VLOOKUP($Q$8,'16. Fatores de conversão'!$A$6:$I$14,9,FALSE)*Q10
+VLOOKUP($R$8,'16. Fatores de conversão'!$A$6:$I$14,9,FALSE)*R10
+VLOOKUP($S$8,'16. Fatores de conversão'!$A$6:$I$14,9,FALSE)*S10
+VLOOKUP($T$8,'16. Fatores de conversão'!$A$6:$I$14,9,FALSE)*T10
+VLOOKUP($U$8,'16. Fatores de conversão'!$A$6:$I$14,9,FALSE)*U10)/1000</f>
        <v>0</v>
      </c>
      <c r="AB10" s="630"/>
      <c r="AC10" s="630"/>
      <c r="AD10" s="638"/>
      <c r="AE10" s="796">
        <f>IF(OR(AC10="",AC10=0),0,IF(OR(AD10="",AD10=0),0,H10+1))</f>
        <v>0</v>
      </c>
      <c r="AF10" s="640"/>
      <c r="AG10" s="667"/>
      <c r="AH10" s="603" t="str">
        <f>IF(F10="","",VLOOKUP(F10,'15. Valores-Padrão'!$C$30:$E$31,3,FALSE)*G10)</f>
        <v/>
      </c>
      <c r="AI10" s="603">
        <f>IF(AF10=0,0,IF(AF10&lt;(AH10),AF10+AG10,((AH10)+((AG10/AF10)*AH10))))</f>
        <v>0</v>
      </c>
      <c r="AJ10" s="788">
        <f>IF(W10=0,0,(AF10+AG10)/W10)</f>
        <v>0</v>
      </c>
      <c r="AK10" s="12"/>
      <c r="AR10" s="11"/>
      <c r="AS10" s="37"/>
      <c r="AT10" s="66"/>
      <c r="AU10" s="66"/>
      <c r="AV10" s="66"/>
      <c r="AW10" s="11"/>
    </row>
    <row r="11" spans="2:49" ht="30" customHeight="1" x14ac:dyDescent="0.25">
      <c r="B11" s="15"/>
      <c r="C11" s="91">
        <v>2</v>
      </c>
      <c r="D11" s="633"/>
      <c r="E11" s="622"/>
      <c r="F11" s="648"/>
      <c r="G11" s="627"/>
      <c r="H11" s="92" t="str">
        <f>IF(F11="","",VLOOKUP(F11,'15. Valores-Padrão'!$C$30:$F$31,4,FALSE))</f>
        <v/>
      </c>
      <c r="I11" s="635"/>
      <c r="J11" s="664"/>
      <c r="K11" s="664"/>
      <c r="L11" s="664"/>
      <c r="M11" s="664"/>
      <c r="N11" s="93">
        <f t="shared" ref="N11:N14" si="5">SUM(I11:M11)</f>
        <v>0</v>
      </c>
      <c r="O11" s="94">
        <f>+VLOOKUP($I$8,'16. Fatores de conversão'!$A$6:$I$14,6,FALSE)*I11+VLOOKUP($J$8,'16. Fatores de conversão'!$A$6:$I$14,6,FALSE)*J11+VLOOKUP($K$8,'16. Fatores de conversão'!$A$6:$I$14,6,FALSE)*K11+VLOOKUP($L$8,'16. Fatores de conversão'!$A$6:$I$14,6,FALSE)*L11+VLOOKUP($M$8,'16. Fatores de conversão'!$A$6:$I$14,6,FALSE)*M11</f>
        <v>0</v>
      </c>
      <c r="P11" s="603">
        <f>+SUMPRODUCT('1. Identificação Ben. Oper.'!$D$56:$H$56,I11:M11)</f>
        <v>0</v>
      </c>
      <c r="Q11" s="636"/>
      <c r="R11" s="666"/>
      <c r="S11" s="666"/>
      <c r="T11" s="666"/>
      <c r="U11" s="666"/>
      <c r="V11" s="93">
        <f t="shared" ref="V11:V20" si="6">SUM(Q11:U11)</f>
        <v>0</v>
      </c>
      <c r="W11" s="603">
        <f>+SUMPRODUCT('1. Identificação Ben. Oper.'!$D$56:$H$56,Q11:U11)</f>
        <v>0</v>
      </c>
      <c r="X11" s="604">
        <f>IF(N11=0,0,V11/N11)</f>
        <v>0</v>
      </c>
      <c r="Y11" s="94">
        <f>+VLOOKUP($Q$8,'16. Fatores de conversão'!$A$6:$I$14,3,FALSE)*Q11
+VLOOKUP($R$8,'16. Fatores de conversão'!$A$6:$I$14,3,FALSE)*R11
+VLOOKUP($S$8,'16. Fatores de conversão'!$A$6:$I$14,3,FALSE)*S11
+VLOOKUP($T$8,'16. Fatores de conversão'!$A$6:$I$14,3,FALSE)*T11
+ VLOOKUP($U$8,'16. Fatores de conversão'!$A$6:$I$14,3,FALSE)*U11</f>
        <v>0</v>
      </c>
      <c r="Z11" s="94">
        <f>+VLOOKUP($Q$8,'16. Fatores de conversão'!$A$6:$I$14,6,FALSE)*Q11
+VLOOKUP($R$8,'16. Fatores de conversão'!$A$6:$I$14,6,FALSE)*R11
+VLOOKUP($S$8,'16. Fatores de conversão'!$A$6:$I$14,6,FALSE)*S11
+VLOOKUP($T$8,'16. Fatores de conversão'!$A$6:$I$14,6,FALSE)*T11
+VLOOKUP($U$8,'16. Fatores de conversão'!$A$6:$I$14,6,FALSE)*U11</f>
        <v>0</v>
      </c>
      <c r="AA11" s="94">
        <f>(VLOOKUP($Q$8,'16. Fatores de conversão'!$A$6:$I$14,9,FALSE)*Q11
+VLOOKUP($R$8,'16. Fatores de conversão'!$A$6:$I$14,9,FALSE)*R11
+VLOOKUP($S$8,'16. Fatores de conversão'!$A$6:$I$14,9,FALSE)*S11
+VLOOKUP($T$8,'16. Fatores de conversão'!$A$6:$I$14,9,FALSE)*T11
+VLOOKUP($U$8,'16. Fatores de conversão'!$A$6:$I$14,9,FALSE)*U11)/1000</f>
        <v>0</v>
      </c>
      <c r="AB11" s="630"/>
      <c r="AC11" s="630"/>
      <c r="AD11" s="638"/>
      <c r="AE11" s="796">
        <f>IF(OR(AC11="",AC11=0),0,IF(OR(AD11="",AD11=0),0,H11+1))</f>
        <v>0</v>
      </c>
      <c r="AF11" s="640"/>
      <c r="AG11" s="630"/>
      <c r="AH11" s="603" t="str">
        <f>IF(F11="","",VLOOKUP(F11,'15. Valores-Padrão'!$C$30:$E$31,3,FALSE)*G11)</f>
        <v/>
      </c>
      <c r="AI11" s="603">
        <f t="shared" ref="AI11:AI20" si="7">IF(AF11=0,0,IF(AF11&lt;(AH11),AF11+AG11,((AH11)+((AG11/AF11)*AH11))))</f>
        <v>0</v>
      </c>
      <c r="AJ11" s="788">
        <f t="shared" ref="AJ11:AJ21" si="8">IF(W11=0,0,(AF11+AG11)/W11)</f>
        <v>0</v>
      </c>
      <c r="AK11" s="12"/>
      <c r="AR11" s="11"/>
      <c r="AS11" s="37"/>
      <c r="AT11" s="66"/>
      <c r="AU11" s="66"/>
      <c r="AV11" s="66"/>
      <c r="AW11" s="11"/>
    </row>
    <row r="12" spans="2:49" ht="30" customHeight="1" x14ac:dyDescent="0.25">
      <c r="B12" s="15"/>
      <c r="C12" s="91">
        <v>3</v>
      </c>
      <c r="D12" s="633"/>
      <c r="E12" s="622"/>
      <c r="F12" s="648"/>
      <c r="G12" s="627"/>
      <c r="H12" s="92" t="str">
        <f>IF(F12="","",VLOOKUP(F12,'15. Valores-Padrão'!$C$30:$F$31,4,FALSE))</f>
        <v/>
      </c>
      <c r="I12" s="635"/>
      <c r="J12" s="664"/>
      <c r="K12" s="664"/>
      <c r="L12" s="664"/>
      <c r="M12" s="664"/>
      <c r="N12" s="93">
        <f t="shared" si="5"/>
        <v>0</v>
      </c>
      <c r="O12" s="94">
        <f>+VLOOKUP($I$8,'16. Fatores de conversão'!$A$6:$I$14,6,FALSE)*I12+VLOOKUP($J$8,'16. Fatores de conversão'!$A$6:$I$14,6,FALSE)*J12+VLOOKUP($K$8,'16. Fatores de conversão'!$A$6:$I$14,6,FALSE)*K12+VLOOKUP($L$8,'16. Fatores de conversão'!$A$6:$I$14,6,FALSE)*L12+VLOOKUP($M$8,'16. Fatores de conversão'!$A$6:$I$14,6,FALSE)*M12</f>
        <v>0</v>
      </c>
      <c r="P12" s="603">
        <f>+SUMPRODUCT('1. Identificação Ben. Oper.'!$D$56:$H$56,I12:M12)</f>
        <v>0</v>
      </c>
      <c r="Q12" s="636"/>
      <c r="R12" s="666"/>
      <c r="S12" s="666"/>
      <c r="T12" s="666"/>
      <c r="U12" s="666"/>
      <c r="V12" s="93">
        <f t="shared" si="6"/>
        <v>0</v>
      </c>
      <c r="W12" s="603">
        <f>+SUMPRODUCT('1. Identificação Ben. Oper.'!$D$56:$H$56,Q12:U12)</f>
        <v>0</v>
      </c>
      <c r="X12" s="604">
        <f>IF(N12=0,0,V12/N12)</f>
        <v>0</v>
      </c>
      <c r="Y12" s="94">
        <f>+VLOOKUP($Q$8,'16. Fatores de conversão'!$A$6:$I$14,3,FALSE)*Q12
+VLOOKUP($R$8,'16. Fatores de conversão'!$A$6:$I$14,3,FALSE)*R12
+VLOOKUP($S$8,'16. Fatores de conversão'!$A$6:$I$14,3,FALSE)*S12
+VLOOKUP($T$8,'16. Fatores de conversão'!$A$6:$I$14,3,FALSE)*T12
+ VLOOKUP($U$8,'16. Fatores de conversão'!$A$6:$I$14,3,FALSE)*U12</f>
        <v>0</v>
      </c>
      <c r="Z12" s="94">
        <f>+VLOOKUP($Q$8,'16. Fatores de conversão'!$A$6:$I$14,6,FALSE)*Q12
+VLOOKUP($R$8,'16. Fatores de conversão'!$A$6:$I$14,6,FALSE)*R12
+VLOOKUP($S$8,'16. Fatores de conversão'!$A$6:$I$14,6,FALSE)*S12
+VLOOKUP($T$8,'16. Fatores de conversão'!$A$6:$I$14,6,FALSE)*T12
+VLOOKUP($U$8,'16. Fatores de conversão'!$A$6:$I$14,6,FALSE)*U12</f>
        <v>0</v>
      </c>
      <c r="AA12" s="94">
        <f>(VLOOKUP($Q$8,'16. Fatores de conversão'!$A$6:$I$14,9,FALSE)*Q12
+VLOOKUP($R$8,'16. Fatores de conversão'!$A$6:$I$14,9,FALSE)*R12
+VLOOKUP($S$8,'16. Fatores de conversão'!$A$6:$I$14,9,FALSE)*S12
+VLOOKUP($T$8,'16. Fatores de conversão'!$A$6:$I$14,9,FALSE)*T12
+VLOOKUP($U$8,'16. Fatores de conversão'!$A$6:$I$14,9,FALSE)*U12)/1000</f>
        <v>0</v>
      </c>
      <c r="AB12" s="630"/>
      <c r="AC12" s="630"/>
      <c r="AD12" s="638"/>
      <c r="AE12" s="796">
        <f>IF(OR(AC12="",AC12=0),0,IF(OR(AD12="",AD12=0),0,H12+1))</f>
        <v>0</v>
      </c>
      <c r="AF12" s="640"/>
      <c r="AG12" s="630"/>
      <c r="AH12" s="603" t="str">
        <f>IF(F12="","",VLOOKUP(F12,'15. Valores-Padrão'!$C$30:$E$31,3,FALSE)*G12)</f>
        <v/>
      </c>
      <c r="AI12" s="603">
        <f t="shared" si="7"/>
        <v>0</v>
      </c>
      <c r="AJ12" s="788">
        <f t="shared" si="8"/>
        <v>0</v>
      </c>
      <c r="AK12" s="12"/>
      <c r="AR12" s="11"/>
      <c r="AS12" s="37"/>
      <c r="AT12" s="66"/>
      <c r="AU12" s="66"/>
      <c r="AV12" s="66"/>
      <c r="AW12" s="11"/>
    </row>
    <row r="13" spans="2:49" ht="30" customHeight="1" x14ac:dyDescent="0.25">
      <c r="B13" s="15"/>
      <c r="C13" s="91">
        <v>4</v>
      </c>
      <c r="D13" s="633"/>
      <c r="E13" s="622"/>
      <c r="F13" s="648"/>
      <c r="G13" s="627"/>
      <c r="H13" s="92" t="str">
        <f>IF(F13="","",VLOOKUP(F13,'15. Valores-Padrão'!$C$30:$F$31,4,FALSE))</f>
        <v/>
      </c>
      <c r="I13" s="635"/>
      <c r="J13" s="664"/>
      <c r="K13" s="664"/>
      <c r="L13" s="664"/>
      <c r="M13" s="664"/>
      <c r="N13" s="93">
        <f t="shared" si="5"/>
        <v>0</v>
      </c>
      <c r="O13" s="94">
        <f>+VLOOKUP($I$8,'16. Fatores de conversão'!$A$6:$I$14,6,FALSE)*I13+VLOOKUP($J$8,'16. Fatores de conversão'!$A$6:$I$14,6,FALSE)*J13+VLOOKUP($K$8,'16. Fatores de conversão'!$A$6:$I$14,6,FALSE)*K13+VLOOKUP($L$8,'16. Fatores de conversão'!$A$6:$I$14,6,FALSE)*L13+VLOOKUP($M$8,'16. Fatores de conversão'!$A$6:$I$14,6,FALSE)*M13</f>
        <v>0</v>
      </c>
      <c r="P13" s="603">
        <f>+SUMPRODUCT('1. Identificação Ben. Oper.'!$D$56:$H$56,I13:M13)</f>
        <v>0</v>
      </c>
      <c r="Q13" s="636"/>
      <c r="R13" s="666"/>
      <c r="S13" s="666"/>
      <c r="T13" s="666"/>
      <c r="U13" s="666"/>
      <c r="V13" s="93">
        <f t="shared" si="6"/>
        <v>0</v>
      </c>
      <c r="W13" s="603">
        <f>+SUMPRODUCT('1. Identificação Ben. Oper.'!$D$56:$H$56,Q13:U13)</f>
        <v>0</v>
      </c>
      <c r="X13" s="604">
        <f>IF(N13=0,0,V13/N13)</f>
        <v>0</v>
      </c>
      <c r="Y13" s="94">
        <f>+VLOOKUP($Q$8,'16. Fatores de conversão'!$A$6:$I$14,3,FALSE)*Q13
+VLOOKUP($R$8,'16. Fatores de conversão'!$A$6:$I$14,3,FALSE)*R13
+VLOOKUP($S$8,'16. Fatores de conversão'!$A$6:$I$14,3,FALSE)*S13
+VLOOKUP($T$8,'16. Fatores de conversão'!$A$6:$I$14,3,FALSE)*T13
+ VLOOKUP($U$8,'16. Fatores de conversão'!$A$6:$I$14,3,FALSE)*U13</f>
        <v>0</v>
      </c>
      <c r="Z13" s="94">
        <f>+VLOOKUP($Q$8,'16. Fatores de conversão'!$A$6:$I$14,6,FALSE)*Q13
+VLOOKUP($R$8,'16. Fatores de conversão'!$A$6:$I$14,6,FALSE)*R13
+VLOOKUP($S$8,'16. Fatores de conversão'!$A$6:$I$14,6,FALSE)*S13
+VLOOKUP($T$8,'16. Fatores de conversão'!$A$6:$I$14,6,FALSE)*T13
+VLOOKUP($U$8,'16. Fatores de conversão'!$A$6:$I$14,6,FALSE)*U13</f>
        <v>0</v>
      </c>
      <c r="AA13" s="94">
        <f>(VLOOKUP($Q$8,'16. Fatores de conversão'!$A$6:$I$14,9,FALSE)*Q13
+VLOOKUP($R$8,'16. Fatores de conversão'!$A$6:$I$14,9,FALSE)*R13
+VLOOKUP($S$8,'16. Fatores de conversão'!$A$6:$I$14,9,FALSE)*S13
+VLOOKUP($T$8,'16. Fatores de conversão'!$A$6:$I$14,9,FALSE)*T13
+VLOOKUP($U$8,'16. Fatores de conversão'!$A$6:$I$14,9,FALSE)*U13)/1000</f>
        <v>0</v>
      </c>
      <c r="AB13" s="630"/>
      <c r="AC13" s="630"/>
      <c r="AD13" s="638"/>
      <c r="AE13" s="796">
        <f>IF(OR(AC13="",AC13=0),0,IF(OR(AD13="",AD13=0),0,H13+1))</f>
        <v>0</v>
      </c>
      <c r="AF13" s="640"/>
      <c r="AG13" s="630"/>
      <c r="AH13" s="603" t="str">
        <f>IF(F13="","",VLOOKUP(F13,'15. Valores-Padrão'!$C$30:$E$31,3,FALSE)*G13)</f>
        <v/>
      </c>
      <c r="AI13" s="603">
        <f t="shared" si="7"/>
        <v>0</v>
      </c>
      <c r="AJ13" s="788">
        <f t="shared" si="8"/>
        <v>0</v>
      </c>
      <c r="AK13" s="12"/>
      <c r="AR13" s="11"/>
      <c r="AS13" s="95"/>
      <c r="AT13" s="66"/>
      <c r="AU13" s="66"/>
      <c r="AV13" s="66"/>
      <c r="AW13" s="11"/>
    </row>
    <row r="14" spans="2:49" ht="30" customHeight="1" x14ac:dyDescent="0.25">
      <c r="B14" s="15"/>
      <c r="C14" s="91">
        <v>5</v>
      </c>
      <c r="D14" s="633"/>
      <c r="E14" s="622"/>
      <c r="F14" s="648"/>
      <c r="G14" s="627"/>
      <c r="H14" s="92" t="str">
        <f>IF(F14="","",VLOOKUP(F14,'15. Valores-Padrão'!$C$30:$F$31,4,FALSE))</f>
        <v/>
      </c>
      <c r="I14" s="635"/>
      <c r="J14" s="664"/>
      <c r="K14" s="664"/>
      <c r="L14" s="664"/>
      <c r="M14" s="664"/>
      <c r="N14" s="93">
        <f t="shared" si="5"/>
        <v>0</v>
      </c>
      <c r="O14" s="94">
        <f>+VLOOKUP($I$8,'16. Fatores de conversão'!$A$6:$I$14,6,FALSE)*I14+VLOOKUP($J$8,'16. Fatores de conversão'!$A$6:$I$14,6,FALSE)*J14+VLOOKUP($K$8,'16. Fatores de conversão'!$A$6:$I$14,6,FALSE)*K14+VLOOKUP($L$8,'16. Fatores de conversão'!$A$6:$I$14,6,FALSE)*L14+VLOOKUP($M$8,'16. Fatores de conversão'!$A$6:$I$14,6,FALSE)*M14</f>
        <v>0</v>
      </c>
      <c r="P14" s="603">
        <f>+SUMPRODUCT('1. Identificação Ben. Oper.'!$D$56:$H$56,I14:M14)</f>
        <v>0</v>
      </c>
      <c r="Q14" s="636"/>
      <c r="R14" s="666"/>
      <c r="S14" s="666"/>
      <c r="T14" s="666"/>
      <c r="U14" s="666"/>
      <c r="V14" s="93">
        <f t="shared" si="6"/>
        <v>0</v>
      </c>
      <c r="W14" s="603">
        <f>+SUMPRODUCT('1. Identificação Ben. Oper.'!$D$56:$H$56,Q14:U14)</f>
        <v>0</v>
      </c>
      <c r="X14" s="604">
        <f>IF(N14=0,0,V14/N14)</f>
        <v>0</v>
      </c>
      <c r="Y14" s="94">
        <f>+VLOOKUP($Q$8,'16. Fatores de conversão'!$A$6:$I$14,3,FALSE)*Q14
+VLOOKUP($R$8,'16. Fatores de conversão'!$A$6:$I$14,3,FALSE)*R14
+VLOOKUP($S$8,'16. Fatores de conversão'!$A$6:$I$14,3,FALSE)*S14
+VLOOKUP($T$8,'16. Fatores de conversão'!$A$6:$I$14,3,FALSE)*T14
+ VLOOKUP($U$8,'16. Fatores de conversão'!$A$6:$I$14,3,FALSE)*U14</f>
        <v>0</v>
      </c>
      <c r="Z14" s="94">
        <f>+VLOOKUP($Q$8,'16. Fatores de conversão'!$A$6:$I$14,6,FALSE)*Q14
+VLOOKUP($R$8,'16. Fatores de conversão'!$A$6:$I$14,6,FALSE)*R14
+VLOOKUP($S$8,'16. Fatores de conversão'!$A$6:$I$14,6,FALSE)*S14
+VLOOKUP($T$8,'16. Fatores de conversão'!$A$6:$I$14,6,FALSE)*T14
+VLOOKUP($U$8,'16. Fatores de conversão'!$A$6:$I$14,6,FALSE)*U14</f>
        <v>0</v>
      </c>
      <c r="AA14" s="94">
        <f>(VLOOKUP($Q$8,'16. Fatores de conversão'!$A$6:$I$14,9,FALSE)*Q14
+VLOOKUP($R$8,'16. Fatores de conversão'!$A$6:$I$14,9,FALSE)*R14
+VLOOKUP($S$8,'16. Fatores de conversão'!$A$6:$I$14,9,FALSE)*S14
+VLOOKUP($T$8,'16. Fatores de conversão'!$A$6:$I$14,9,FALSE)*T14
+VLOOKUP($U$8,'16. Fatores de conversão'!$A$6:$I$14,9,FALSE)*U14)/1000</f>
        <v>0</v>
      </c>
      <c r="AB14" s="630"/>
      <c r="AC14" s="630"/>
      <c r="AD14" s="638"/>
      <c r="AE14" s="796">
        <f>IF(OR(AC14="",AC14=0),0,IF(OR(AD14="",AD14=0),0,H14+1))</f>
        <v>0</v>
      </c>
      <c r="AF14" s="640"/>
      <c r="AG14" s="630"/>
      <c r="AH14" s="603" t="str">
        <f>IF(F14="","",VLOOKUP(F14,'15. Valores-Padrão'!$C$30:$E$31,3,FALSE)*G14)</f>
        <v/>
      </c>
      <c r="AI14" s="603">
        <f t="shared" si="7"/>
        <v>0</v>
      </c>
      <c r="AJ14" s="788">
        <f t="shared" si="8"/>
        <v>0</v>
      </c>
      <c r="AK14" s="12"/>
      <c r="AR14" s="11"/>
      <c r="AS14" s="95"/>
      <c r="AT14" s="66"/>
      <c r="AU14" s="66"/>
      <c r="AV14" s="66"/>
      <c r="AW14" s="11"/>
    </row>
    <row r="15" spans="2:49" ht="30" customHeight="1" x14ac:dyDescent="0.3">
      <c r="B15" s="15"/>
      <c r="C15" s="989" t="s">
        <v>49</v>
      </c>
      <c r="D15" s="990"/>
      <c r="E15" s="88"/>
      <c r="F15" s="88"/>
      <c r="G15" s="88"/>
      <c r="H15" s="88"/>
      <c r="I15" s="413"/>
      <c r="J15" s="369"/>
      <c r="K15" s="369"/>
      <c r="L15" s="369"/>
      <c r="M15" s="369"/>
      <c r="N15" s="88"/>
      <c r="O15" s="88"/>
      <c r="P15" s="90"/>
      <c r="Q15" s="89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90"/>
      <c r="AF15" s="89"/>
      <c r="AG15" s="88"/>
      <c r="AH15" s="96"/>
      <c r="AI15" s="88"/>
      <c r="AJ15" s="90"/>
      <c r="AK15" s="12"/>
      <c r="AR15" s="11"/>
      <c r="AS15" s="95"/>
      <c r="AT15" s="66"/>
      <c r="AU15" s="66"/>
      <c r="AV15" s="66"/>
      <c r="AW15" s="11"/>
    </row>
    <row r="16" spans="2:49" ht="30" customHeight="1" x14ac:dyDescent="0.25">
      <c r="B16" s="15"/>
      <c r="C16" s="91">
        <v>6</v>
      </c>
      <c r="D16" s="633"/>
      <c r="E16" s="622"/>
      <c r="F16" s="648"/>
      <c r="G16" s="627"/>
      <c r="H16" s="650"/>
      <c r="I16" s="635"/>
      <c r="J16" s="664"/>
      <c r="K16" s="664"/>
      <c r="L16" s="664"/>
      <c r="M16" s="664"/>
      <c r="N16" s="93">
        <f>SUM(I16:M16)</f>
        <v>0</v>
      </c>
      <c r="O16" s="94">
        <f>+VLOOKUP($I$8,'16. Fatores de conversão'!$A$6:$I$14,6,FALSE)*I16+VLOOKUP($J$8,'16. Fatores de conversão'!$A$6:$I$14,6,FALSE)*J16+VLOOKUP($K$8,'16. Fatores de conversão'!$A$6:$I$14,6,FALSE)*K16+VLOOKUP($L$8,'16. Fatores de conversão'!$A$6:$I$14,6,FALSE)*L16+VLOOKUP($M$8,'16. Fatores de conversão'!$A$6:$I$14,6,FALSE)*M16</f>
        <v>0</v>
      </c>
      <c r="P16" s="603">
        <f>+SUMPRODUCT('1. Identificação Ben. Oper.'!$D$56:$H$56,I16:M16)</f>
        <v>0</v>
      </c>
      <c r="Q16" s="636"/>
      <c r="R16" s="637"/>
      <c r="S16" s="637"/>
      <c r="T16" s="637"/>
      <c r="U16" s="637"/>
      <c r="V16" s="93">
        <f t="shared" si="6"/>
        <v>0</v>
      </c>
      <c r="W16" s="603">
        <f>+SUMPRODUCT('1. Identificação Ben. Oper.'!$D$56:$H$56,Q16:U16)</f>
        <v>0</v>
      </c>
      <c r="X16" s="604">
        <f t="shared" ref="X16:X21" si="9">IF(N16=0,0,V16/N16)</f>
        <v>0</v>
      </c>
      <c r="Y16" s="94">
        <f>+VLOOKUP($Q$8,'16. Fatores de conversão'!$A$6:$I$14,3,FALSE)*Q16
+VLOOKUP($R$8,'16. Fatores de conversão'!$A$6:$I$14,3,FALSE)*R16
+VLOOKUP($S$8,'16. Fatores de conversão'!$A$6:$I$14,3,FALSE)*S16
+VLOOKUP($T$8,'16. Fatores de conversão'!$A$6:$I$14,3,FALSE)*T16
+ VLOOKUP($U$8,'16. Fatores de conversão'!$A$6:$I$14,3,FALSE)*U16</f>
        <v>0</v>
      </c>
      <c r="Z16" s="94">
        <f>+VLOOKUP($Q$8,'16. Fatores de conversão'!$A$6:$I$14,6,FALSE)*Q16
+VLOOKUP($R$8,'16. Fatores de conversão'!$A$6:$I$14,6,FALSE)*R16
+VLOOKUP($S$8,'16. Fatores de conversão'!$A$6:$I$14,6,FALSE)*S16
+VLOOKUP($T$8,'16. Fatores de conversão'!$A$6:$I$14,6,FALSE)*T16
+VLOOKUP($U$8,'16. Fatores de conversão'!$A$6:$I$14,6,FALSE)*U16</f>
        <v>0</v>
      </c>
      <c r="AA16" s="94">
        <f>(VLOOKUP($Q$8,'16. Fatores de conversão'!$A$6:$I$14,9,FALSE)*Q16
+VLOOKUP($R$8,'16. Fatores de conversão'!$A$6:$I$14,9,FALSE)*R16
+VLOOKUP($S$8,'16. Fatores de conversão'!$A$6:$I$14,9,FALSE)*S16
+VLOOKUP($T$8,'16. Fatores de conversão'!$A$6:$I$14,9,FALSE)*T16
+VLOOKUP($U$8,'16. Fatores de conversão'!$A$6:$I$14,9,FALSE)*U16)/1000</f>
        <v>0</v>
      </c>
      <c r="AB16" s="630"/>
      <c r="AC16" s="630"/>
      <c r="AD16" s="638"/>
      <c r="AE16" s="796">
        <f>IF(OR(AC16="",AC16=0),0,IF(OR(AD16="",AD16=0),0,H16+1))</f>
        <v>0</v>
      </c>
      <c r="AF16" s="640"/>
      <c r="AG16" s="641"/>
      <c r="AH16" s="830" t="s">
        <v>196</v>
      </c>
      <c r="AI16" s="603">
        <f>IF(AF16=0,0,IF(AF16&lt;(AH16),AF16+AG16,((AH16)+((AG16/AF16)*AH16))))</f>
        <v>0</v>
      </c>
      <c r="AJ16" s="788">
        <f t="shared" si="8"/>
        <v>0</v>
      </c>
      <c r="AK16" s="12"/>
      <c r="AR16" s="11"/>
      <c r="AS16" s="95"/>
      <c r="AT16" s="66"/>
      <c r="AU16" s="66"/>
      <c r="AV16" s="66"/>
      <c r="AW16" s="11"/>
    </row>
    <row r="17" spans="2:49" ht="30" customHeight="1" x14ac:dyDescent="0.25">
      <c r="B17" s="15"/>
      <c r="C17" s="91">
        <v>7</v>
      </c>
      <c r="D17" s="633"/>
      <c r="E17" s="622"/>
      <c r="F17" s="648"/>
      <c r="G17" s="627"/>
      <c r="H17" s="650"/>
      <c r="I17" s="635"/>
      <c r="J17" s="664"/>
      <c r="K17" s="664"/>
      <c r="L17" s="664"/>
      <c r="M17" s="664"/>
      <c r="N17" s="93">
        <f t="shared" ref="N17:N20" si="10">SUM(I17:M17)</f>
        <v>0</v>
      </c>
      <c r="O17" s="94">
        <f>+VLOOKUP($I$8,'16. Fatores de conversão'!$A$6:$I$14,6,FALSE)*I17+VLOOKUP($J$8,'16. Fatores de conversão'!$A$6:$I$14,6,FALSE)*J17+VLOOKUP($K$8,'16. Fatores de conversão'!$A$6:$I$14,6,FALSE)*K17+VLOOKUP($L$8,'16. Fatores de conversão'!$A$6:$I$14,6,FALSE)*L17+VLOOKUP($M$8,'16. Fatores de conversão'!$A$6:$I$14,6,FALSE)*M17</f>
        <v>0</v>
      </c>
      <c r="P17" s="603">
        <f>+SUMPRODUCT('1. Identificação Ben. Oper.'!$D$56:$H$56,I17:M17)</f>
        <v>0</v>
      </c>
      <c r="Q17" s="636"/>
      <c r="R17" s="637"/>
      <c r="S17" s="637"/>
      <c r="T17" s="637"/>
      <c r="U17" s="637"/>
      <c r="V17" s="93">
        <f t="shared" si="6"/>
        <v>0</v>
      </c>
      <c r="W17" s="603">
        <f>+SUMPRODUCT('1. Identificação Ben. Oper.'!$D$56:$H$56,Q17:U17)</f>
        <v>0</v>
      </c>
      <c r="X17" s="604">
        <f t="shared" si="9"/>
        <v>0</v>
      </c>
      <c r="Y17" s="94">
        <f>+VLOOKUP($Q$8,'16. Fatores de conversão'!$A$6:$I$14,3,FALSE)*Q17
+VLOOKUP($R$8,'16. Fatores de conversão'!$A$6:$I$14,3,FALSE)*R17
+VLOOKUP($S$8,'16. Fatores de conversão'!$A$6:$I$14,3,FALSE)*S17
+VLOOKUP($T$8,'16. Fatores de conversão'!$A$6:$I$14,3,FALSE)*T17
+ VLOOKUP($U$8,'16. Fatores de conversão'!$A$6:$I$14,3,FALSE)*U17</f>
        <v>0</v>
      </c>
      <c r="Z17" s="94">
        <f>+VLOOKUP($Q$8,'16. Fatores de conversão'!$A$6:$I$14,6,FALSE)*Q17
+VLOOKUP($R$8,'16. Fatores de conversão'!$A$6:$I$14,6,FALSE)*R17
+VLOOKUP($S$8,'16. Fatores de conversão'!$A$6:$I$14,6,FALSE)*S17
+VLOOKUP($T$8,'16. Fatores de conversão'!$A$6:$I$14,6,FALSE)*T17
+VLOOKUP($U$8,'16. Fatores de conversão'!$A$6:$I$14,6,FALSE)*U17</f>
        <v>0</v>
      </c>
      <c r="AA17" s="94">
        <f>(VLOOKUP($Q$8,'16. Fatores de conversão'!$A$6:$I$14,9,FALSE)*Q17
+VLOOKUP($R$8,'16. Fatores de conversão'!$A$6:$I$14,9,FALSE)*R17
+VLOOKUP($S$8,'16. Fatores de conversão'!$A$6:$I$14,9,FALSE)*S17
+VLOOKUP($T$8,'16. Fatores de conversão'!$A$6:$I$14,9,FALSE)*T17
+VLOOKUP($U$8,'16. Fatores de conversão'!$A$6:$I$14,9,FALSE)*U17)/1000</f>
        <v>0</v>
      </c>
      <c r="AB17" s="630"/>
      <c r="AC17" s="630"/>
      <c r="AD17" s="638"/>
      <c r="AE17" s="796">
        <f>IF(OR(AC17="",AC17=0),0,IF(OR(AD17="",AD17=0),0,H17+1))</f>
        <v>0</v>
      </c>
      <c r="AF17" s="640"/>
      <c r="AG17" s="641"/>
      <c r="AH17" s="830" t="s">
        <v>196</v>
      </c>
      <c r="AI17" s="603">
        <f t="shared" si="7"/>
        <v>0</v>
      </c>
      <c r="AJ17" s="788">
        <f t="shared" si="8"/>
        <v>0</v>
      </c>
      <c r="AK17" s="12"/>
      <c r="AR17" s="11"/>
      <c r="AS17" s="95"/>
      <c r="AT17" s="66"/>
      <c r="AU17" s="66"/>
      <c r="AV17" s="66"/>
      <c r="AW17" s="11"/>
    </row>
    <row r="18" spans="2:49" ht="30" customHeight="1" x14ac:dyDescent="0.25">
      <c r="B18" s="15"/>
      <c r="C18" s="91">
        <v>8</v>
      </c>
      <c r="D18" s="633"/>
      <c r="E18" s="622"/>
      <c r="F18" s="648"/>
      <c r="G18" s="627"/>
      <c r="H18" s="650"/>
      <c r="I18" s="635"/>
      <c r="J18" s="664"/>
      <c r="K18" s="664"/>
      <c r="L18" s="664"/>
      <c r="M18" s="664"/>
      <c r="N18" s="93">
        <f t="shared" si="10"/>
        <v>0</v>
      </c>
      <c r="O18" s="94">
        <f>+VLOOKUP($I$8,'16. Fatores de conversão'!$A$6:$I$14,6,FALSE)*I18+VLOOKUP($J$8,'16. Fatores de conversão'!$A$6:$I$14,6,FALSE)*J18+VLOOKUP($K$8,'16. Fatores de conversão'!$A$6:$I$14,6,FALSE)*K18+VLOOKUP($L$8,'16. Fatores de conversão'!$A$6:$I$14,6,FALSE)*L18+VLOOKUP($M$8,'16. Fatores de conversão'!$A$6:$I$14,6,FALSE)*M18</f>
        <v>0</v>
      </c>
      <c r="P18" s="603">
        <f>+SUMPRODUCT('1. Identificação Ben. Oper.'!$D$56:$H$56,I18:M18)</f>
        <v>0</v>
      </c>
      <c r="Q18" s="636"/>
      <c r="R18" s="637"/>
      <c r="S18" s="637"/>
      <c r="T18" s="637"/>
      <c r="U18" s="637"/>
      <c r="V18" s="93">
        <f t="shared" si="6"/>
        <v>0</v>
      </c>
      <c r="W18" s="603">
        <f>+SUMPRODUCT('1. Identificação Ben. Oper.'!$D$56:$H$56,Q18:U18)</f>
        <v>0</v>
      </c>
      <c r="X18" s="604">
        <f t="shared" si="9"/>
        <v>0</v>
      </c>
      <c r="Y18" s="94">
        <f>+VLOOKUP($Q$8,'16. Fatores de conversão'!$A$6:$I$14,3,FALSE)*Q18
+VLOOKUP($R$8,'16. Fatores de conversão'!$A$6:$I$14,3,FALSE)*R18
+VLOOKUP($S$8,'16. Fatores de conversão'!$A$6:$I$14,3,FALSE)*S18
+VLOOKUP($T$8,'16. Fatores de conversão'!$A$6:$I$14,3,FALSE)*T18
+ VLOOKUP($U$8,'16. Fatores de conversão'!$A$6:$I$14,3,FALSE)*U18</f>
        <v>0</v>
      </c>
      <c r="Z18" s="94">
        <f>+VLOOKUP($Q$8,'16. Fatores de conversão'!$A$6:$I$14,6,FALSE)*Q18
+VLOOKUP($R$8,'16. Fatores de conversão'!$A$6:$I$14,6,FALSE)*R18
+VLOOKUP($S$8,'16. Fatores de conversão'!$A$6:$I$14,6,FALSE)*S18
+VLOOKUP($T$8,'16. Fatores de conversão'!$A$6:$I$14,6,FALSE)*T18
+VLOOKUP($U$8,'16. Fatores de conversão'!$A$6:$I$14,6,FALSE)*U18</f>
        <v>0</v>
      </c>
      <c r="AA18" s="94">
        <f>(VLOOKUP($Q$8,'16. Fatores de conversão'!$A$6:$I$14,9,FALSE)*Q18
+VLOOKUP($R$8,'16. Fatores de conversão'!$A$6:$I$14,9,FALSE)*R18
+VLOOKUP($S$8,'16. Fatores de conversão'!$A$6:$I$14,9,FALSE)*S18
+VLOOKUP($T$8,'16. Fatores de conversão'!$A$6:$I$14,9,FALSE)*T18
+VLOOKUP($U$8,'16. Fatores de conversão'!$A$6:$I$14,9,FALSE)*U18)/1000</f>
        <v>0</v>
      </c>
      <c r="AB18" s="630"/>
      <c r="AC18" s="630"/>
      <c r="AD18" s="638"/>
      <c r="AE18" s="796">
        <f>IF(OR(AC18="",AC18=0),0,IF(OR(AD18="",AD18=0),0,H18+1))</f>
        <v>0</v>
      </c>
      <c r="AF18" s="640"/>
      <c r="AG18" s="641"/>
      <c r="AH18" s="830" t="s">
        <v>196</v>
      </c>
      <c r="AI18" s="603">
        <f t="shared" si="7"/>
        <v>0</v>
      </c>
      <c r="AJ18" s="788">
        <f t="shared" si="8"/>
        <v>0</v>
      </c>
      <c r="AK18" s="12"/>
      <c r="AR18" s="11"/>
      <c r="AS18" s="95"/>
      <c r="AT18" s="66"/>
      <c r="AU18" s="66"/>
      <c r="AV18" s="66"/>
      <c r="AW18" s="11"/>
    </row>
    <row r="19" spans="2:49" ht="30" customHeight="1" x14ac:dyDescent="0.25">
      <c r="B19" s="15"/>
      <c r="C19" s="91">
        <v>9</v>
      </c>
      <c r="D19" s="633"/>
      <c r="E19" s="622"/>
      <c r="F19" s="648"/>
      <c r="G19" s="627"/>
      <c r="H19" s="650"/>
      <c r="I19" s="635"/>
      <c r="J19" s="664"/>
      <c r="K19" s="664"/>
      <c r="L19" s="664"/>
      <c r="M19" s="664"/>
      <c r="N19" s="93">
        <f t="shared" si="10"/>
        <v>0</v>
      </c>
      <c r="O19" s="94">
        <f>+VLOOKUP($I$8,'16. Fatores de conversão'!$A$6:$I$14,6,FALSE)*I19+VLOOKUP($J$8,'16. Fatores de conversão'!$A$6:$I$14,6,FALSE)*J19+VLOOKUP($K$8,'16. Fatores de conversão'!$A$6:$I$14,6,FALSE)*K19+VLOOKUP($L$8,'16. Fatores de conversão'!$A$6:$I$14,6,FALSE)*L19+VLOOKUP($M$8,'16. Fatores de conversão'!$A$6:$I$14,6,FALSE)*M19</f>
        <v>0</v>
      </c>
      <c r="P19" s="603">
        <f>+SUMPRODUCT('1. Identificação Ben. Oper.'!$D$56:$H$56,I19:M19)</f>
        <v>0</v>
      </c>
      <c r="Q19" s="636"/>
      <c r="R19" s="637"/>
      <c r="S19" s="637"/>
      <c r="T19" s="637"/>
      <c r="U19" s="637"/>
      <c r="V19" s="93">
        <f t="shared" si="6"/>
        <v>0</v>
      </c>
      <c r="W19" s="603">
        <f>+SUMPRODUCT('1. Identificação Ben. Oper.'!$D$56:$H$56,Q19:U19)</f>
        <v>0</v>
      </c>
      <c r="X19" s="604">
        <f t="shared" si="9"/>
        <v>0</v>
      </c>
      <c r="Y19" s="94">
        <f>+VLOOKUP($Q$8,'16. Fatores de conversão'!$A$6:$I$14,3,FALSE)*Q19
+VLOOKUP($R$8,'16. Fatores de conversão'!$A$6:$I$14,3,FALSE)*R19
+VLOOKUP($S$8,'16. Fatores de conversão'!$A$6:$I$14,3,FALSE)*S19
+VLOOKUP($T$8,'16. Fatores de conversão'!$A$6:$I$14,3,FALSE)*T19
+ VLOOKUP($U$8,'16. Fatores de conversão'!$A$6:$I$14,3,FALSE)*U19</f>
        <v>0</v>
      </c>
      <c r="Z19" s="94">
        <f>+VLOOKUP($Q$8,'16. Fatores de conversão'!$A$6:$I$14,6,FALSE)*Q19
+VLOOKUP($R$8,'16. Fatores de conversão'!$A$6:$I$14,6,FALSE)*R19
+VLOOKUP($S$8,'16. Fatores de conversão'!$A$6:$I$14,6,FALSE)*S19
+VLOOKUP($T$8,'16. Fatores de conversão'!$A$6:$I$14,6,FALSE)*T19
+VLOOKUP($U$8,'16. Fatores de conversão'!$A$6:$I$14,6,FALSE)*U19</f>
        <v>0</v>
      </c>
      <c r="AA19" s="94">
        <f>(VLOOKUP($Q$8,'16. Fatores de conversão'!$A$6:$I$14,9,FALSE)*Q19
+VLOOKUP($R$8,'16. Fatores de conversão'!$A$6:$I$14,9,FALSE)*R19
+VLOOKUP($S$8,'16. Fatores de conversão'!$A$6:$I$14,9,FALSE)*S19
+VLOOKUP($T$8,'16. Fatores de conversão'!$A$6:$I$14,9,FALSE)*T19
+VLOOKUP($U$8,'16. Fatores de conversão'!$A$6:$I$14,9,FALSE)*U19)/1000</f>
        <v>0</v>
      </c>
      <c r="AB19" s="630"/>
      <c r="AC19" s="630"/>
      <c r="AD19" s="638"/>
      <c r="AE19" s="796">
        <f>IF(OR(AC19="",AC19=0),0,IF(OR(AD19="",AD19=0),0,H19+1))</f>
        <v>0</v>
      </c>
      <c r="AF19" s="640"/>
      <c r="AG19" s="641"/>
      <c r="AH19" s="830" t="s">
        <v>196</v>
      </c>
      <c r="AI19" s="603">
        <f t="shared" si="7"/>
        <v>0</v>
      </c>
      <c r="AJ19" s="788">
        <f t="shared" si="8"/>
        <v>0</v>
      </c>
      <c r="AK19" s="12"/>
      <c r="AR19" s="11"/>
      <c r="AS19" s="95"/>
      <c r="AT19" s="66"/>
      <c r="AU19" s="66"/>
      <c r="AV19" s="66"/>
      <c r="AW19" s="11"/>
    </row>
    <row r="20" spans="2:49" ht="30" customHeight="1" thickBot="1" x14ac:dyDescent="0.3">
      <c r="B20" s="15"/>
      <c r="C20" s="97">
        <v>10</v>
      </c>
      <c r="D20" s="645"/>
      <c r="E20" s="651"/>
      <c r="F20" s="652"/>
      <c r="G20" s="647"/>
      <c r="H20" s="653"/>
      <c r="I20" s="654"/>
      <c r="J20" s="665"/>
      <c r="K20" s="665"/>
      <c r="L20" s="665"/>
      <c r="M20" s="665"/>
      <c r="N20" s="93">
        <f t="shared" si="10"/>
        <v>0</v>
      </c>
      <c r="O20" s="94">
        <f>+VLOOKUP($I$8,'16. Fatores de conversão'!$A$6:$I$14,6,FALSE)*I20+VLOOKUP($J$8,'16. Fatores de conversão'!$A$6:$I$14,6,FALSE)*J20+VLOOKUP($K$8,'16. Fatores de conversão'!$A$6:$I$14,6,FALSE)*K20+VLOOKUP($L$8,'16. Fatores de conversão'!$A$6:$I$14,6,FALSE)*L20+VLOOKUP($M$8,'16. Fatores de conversão'!$A$6:$I$14,6,FALSE)*M20</f>
        <v>0</v>
      </c>
      <c r="P20" s="603">
        <f>+SUMPRODUCT('1. Identificação Ben. Oper.'!$D$56:$H$56,I20:M20)</f>
        <v>0</v>
      </c>
      <c r="Q20" s="636"/>
      <c r="R20" s="656"/>
      <c r="S20" s="656"/>
      <c r="T20" s="656"/>
      <c r="U20" s="656"/>
      <c r="V20" s="93">
        <f t="shared" si="6"/>
        <v>0</v>
      </c>
      <c r="W20" s="603">
        <f>+SUMPRODUCT('1. Identificação Ben. Oper.'!$D$56:$H$56,Q20:U20)</f>
        <v>0</v>
      </c>
      <c r="X20" s="604">
        <f t="shared" si="9"/>
        <v>0</v>
      </c>
      <c r="Y20" s="94">
        <f>+VLOOKUP($Q$8,'16. Fatores de conversão'!$A$6:$I$14,3,FALSE)*Q20
+VLOOKUP($R$8,'16. Fatores de conversão'!$A$6:$I$14,3,FALSE)*R20
+VLOOKUP($S$8,'16. Fatores de conversão'!$A$6:$I$14,3,FALSE)*S20
+VLOOKUP($T$8,'16. Fatores de conversão'!$A$6:$I$14,3,FALSE)*T20
+ VLOOKUP($U$8,'16. Fatores de conversão'!$A$6:$I$14,3,FALSE)*U20</f>
        <v>0</v>
      </c>
      <c r="Z20" s="94">
        <f>+VLOOKUP($Q$8,'16. Fatores de conversão'!$A$6:$I$14,6,FALSE)*Q20
+VLOOKUP($R$8,'16. Fatores de conversão'!$A$6:$I$14,6,FALSE)*R20
+VLOOKUP($S$8,'16. Fatores de conversão'!$A$6:$I$14,6,FALSE)*S20
+VLOOKUP($T$8,'16. Fatores de conversão'!$A$6:$I$14,6,FALSE)*T20
+VLOOKUP($U$8,'16. Fatores de conversão'!$A$6:$I$14,6,FALSE)*U20</f>
        <v>0</v>
      </c>
      <c r="AA20" s="94">
        <f>(VLOOKUP($Q$8,'16. Fatores de conversão'!$A$6:$I$14,9,FALSE)*Q20
+VLOOKUP($R$8,'16. Fatores de conversão'!$A$6:$I$14,9,FALSE)*R20
+VLOOKUP($S$8,'16. Fatores de conversão'!$A$6:$I$14,9,FALSE)*S20
+VLOOKUP($T$8,'16. Fatores de conversão'!$A$6:$I$14,9,FALSE)*T20
+VLOOKUP($U$8,'16. Fatores de conversão'!$A$6:$I$14,9,FALSE)*U20)/1000</f>
        <v>0</v>
      </c>
      <c r="AB20" s="649"/>
      <c r="AC20" s="649"/>
      <c r="AD20" s="638"/>
      <c r="AE20" s="796">
        <f>IF(OR(AC20="",AC20=0),0,IF(OR(AD20="",AD20=0),0,H20+1))</f>
        <v>0</v>
      </c>
      <c r="AF20" s="642"/>
      <c r="AG20" s="643"/>
      <c r="AH20" s="830" t="s">
        <v>196</v>
      </c>
      <c r="AI20" s="789">
        <f t="shared" si="7"/>
        <v>0</v>
      </c>
      <c r="AJ20" s="788">
        <f t="shared" si="8"/>
        <v>0</v>
      </c>
      <c r="AK20" s="12"/>
      <c r="AR20" s="11"/>
      <c r="AS20" s="95"/>
      <c r="AT20" s="66"/>
      <c r="AU20" s="66"/>
      <c r="AV20" s="66"/>
      <c r="AW20" s="11"/>
    </row>
    <row r="21" spans="2:49" ht="15.75" thickBot="1" x14ac:dyDescent="0.3">
      <c r="B21" s="15"/>
      <c r="C21" s="21"/>
      <c r="D21" s="11"/>
      <c r="E21" s="11"/>
      <c r="F21" s="11"/>
      <c r="G21" s="11"/>
      <c r="H21" s="11"/>
      <c r="I21" s="778">
        <f>SUM(I10:I20)</f>
        <v>0</v>
      </c>
      <c r="J21" s="779">
        <f t="shared" ref="J21:M21" si="11">SUM(J10:J20)</f>
        <v>0</v>
      </c>
      <c r="K21" s="779">
        <f t="shared" si="11"/>
        <v>0</v>
      </c>
      <c r="L21" s="779">
        <f t="shared" si="11"/>
        <v>0</v>
      </c>
      <c r="M21" s="779">
        <f t="shared" si="11"/>
        <v>0</v>
      </c>
      <c r="N21" s="779">
        <f t="shared" ref="N21:P21" si="12">SUM(N10:N20)</f>
        <v>0</v>
      </c>
      <c r="O21" s="780">
        <f t="shared" si="12"/>
        <v>0</v>
      </c>
      <c r="P21" s="781">
        <f t="shared" si="12"/>
        <v>0</v>
      </c>
      <c r="Q21" s="778">
        <f>SUM(Q10:Q20)</f>
        <v>0</v>
      </c>
      <c r="R21" s="779">
        <f t="shared" ref="R21:U21" si="13">SUM(R10:R20)</f>
        <v>0</v>
      </c>
      <c r="S21" s="779">
        <f t="shared" si="13"/>
        <v>0</v>
      </c>
      <c r="T21" s="779">
        <f t="shared" si="13"/>
        <v>0</v>
      </c>
      <c r="U21" s="779">
        <f t="shared" si="13"/>
        <v>0</v>
      </c>
      <c r="V21" s="779">
        <f>SUM(V10:V20)</f>
        <v>0</v>
      </c>
      <c r="W21" s="782">
        <f>SUM(W10:W20)</f>
        <v>0</v>
      </c>
      <c r="X21" s="783">
        <f t="shared" si="9"/>
        <v>0</v>
      </c>
      <c r="Y21" s="784">
        <f t="shared" ref="Y21:AC21" si="14">SUM(Y10:Y20)</f>
        <v>0</v>
      </c>
      <c r="Z21" s="784">
        <f t="shared" si="14"/>
        <v>0</v>
      </c>
      <c r="AA21" s="784">
        <f t="shared" si="14"/>
        <v>0</v>
      </c>
      <c r="AB21" s="782">
        <f t="shared" si="14"/>
        <v>0</v>
      </c>
      <c r="AC21" s="785">
        <f t="shared" si="14"/>
        <v>0</v>
      </c>
      <c r="AD21" s="368"/>
      <c r="AE21" s="365"/>
      <c r="AF21" s="786">
        <f>SUM(AF10:AF20)</f>
        <v>0</v>
      </c>
      <c r="AG21" s="782">
        <f t="shared" ref="AG21:AH21" si="15">SUM(AG10:AG20)</f>
        <v>0</v>
      </c>
      <c r="AH21" s="782">
        <f t="shared" si="15"/>
        <v>0</v>
      </c>
      <c r="AI21" s="782">
        <f>SUM(AI10:AI20)</f>
        <v>0</v>
      </c>
      <c r="AJ21" s="787">
        <f t="shared" si="8"/>
        <v>0</v>
      </c>
      <c r="AK21" s="12"/>
      <c r="AR21" s="36"/>
      <c r="AS21" s="95"/>
      <c r="AT21" s="66"/>
      <c r="AU21" s="66"/>
      <c r="AV21" s="66"/>
      <c r="AW21" s="11"/>
    </row>
    <row r="22" spans="2:49" s="1" customFormat="1" ht="30" customHeight="1" thickBot="1" x14ac:dyDescent="0.3">
      <c r="B22" s="9"/>
      <c r="C22" s="972" t="s">
        <v>211</v>
      </c>
      <c r="D22" s="973"/>
      <c r="E22" s="775">
        <f>AF21+AG21</f>
        <v>0</v>
      </c>
      <c r="F22" s="21"/>
      <c r="G22" s="21"/>
      <c r="H22" s="21"/>
      <c r="I22" s="21"/>
      <c r="J22" s="21"/>
      <c r="K22" s="21"/>
      <c r="L22" s="21"/>
      <c r="M22" s="60"/>
      <c r="N22" s="60"/>
      <c r="O22" s="21"/>
      <c r="P22" s="21"/>
      <c r="Q22" s="99"/>
      <c r="R22" s="20"/>
      <c r="S22" s="99"/>
      <c r="T22" s="60"/>
      <c r="U22" s="60"/>
      <c r="V22" s="60"/>
      <c r="W22" s="60"/>
      <c r="X22" s="60"/>
      <c r="Y22" s="60"/>
      <c r="Z22" s="60"/>
      <c r="AA22" s="60"/>
      <c r="AB22" s="99"/>
      <c r="AC22" s="60"/>
      <c r="AD22" s="21"/>
      <c r="AE22" s="21"/>
      <c r="AF22" s="21"/>
      <c r="AG22" s="21"/>
      <c r="AH22" s="21"/>
      <c r="AK22" s="100"/>
      <c r="AM22" s="66"/>
      <c r="AN22" s="66"/>
      <c r="AO22" s="66"/>
      <c r="AP22" s="21"/>
    </row>
    <row r="23" spans="2:49" ht="30" customHeight="1" thickBot="1" x14ac:dyDescent="0.3">
      <c r="B23" s="15"/>
      <c r="C23" s="972" t="s">
        <v>141</v>
      </c>
      <c r="D23" s="973"/>
      <c r="E23" s="775">
        <f>AI21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K23" s="12"/>
      <c r="AM23" s="66"/>
      <c r="AN23" s="66"/>
      <c r="AO23" s="66"/>
      <c r="AP23" s="11"/>
    </row>
    <row r="24" spans="2:49" ht="15" x14ac:dyDescent="0.25">
      <c r="B24" s="15"/>
      <c r="C24" s="2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66"/>
      <c r="AJ24" s="76"/>
      <c r="AK24" s="62"/>
      <c r="AM24" s="11"/>
      <c r="AN24" s="66"/>
      <c r="AO24" s="66"/>
      <c r="AP24" s="11"/>
    </row>
    <row r="25" spans="2:49" ht="15.75" thickBot="1" x14ac:dyDescent="0.3">
      <c r="B25" s="15"/>
      <c r="C25" s="2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66"/>
      <c r="AJ25" s="76"/>
      <c r="AK25" s="62"/>
      <c r="AM25" s="11"/>
      <c r="AN25" s="66"/>
      <c r="AO25" s="66"/>
      <c r="AP25" s="11"/>
    </row>
    <row r="26" spans="2:49" ht="56.25" customHeight="1" thickBot="1" x14ac:dyDescent="0.35">
      <c r="B26" s="15"/>
      <c r="C26" s="101" t="s">
        <v>51</v>
      </c>
      <c r="D26" s="102"/>
      <c r="E26" s="102"/>
      <c r="F26" s="102"/>
      <c r="G26" s="102"/>
      <c r="H26" s="102"/>
      <c r="I26" s="974" t="s">
        <v>374</v>
      </c>
      <c r="J26" s="975"/>
      <c r="K26" s="976"/>
      <c r="L26" s="976"/>
      <c r="M26" s="976"/>
      <c r="N26" s="976"/>
      <c r="O26" s="976"/>
      <c r="P26" s="976"/>
      <c r="Q26" s="976"/>
      <c r="R26" s="976"/>
      <c r="S26" s="976"/>
      <c r="T26" s="976"/>
      <c r="U26" s="976"/>
      <c r="V26" s="976"/>
      <c r="W26" s="976"/>
      <c r="X26" s="976"/>
      <c r="Y26" s="976"/>
      <c r="Z26" s="976"/>
      <c r="AA26" s="976"/>
      <c r="AB26" s="976"/>
      <c r="AC26" s="976"/>
      <c r="AD26" s="976"/>
      <c r="AE26" s="976"/>
      <c r="AF26" s="976"/>
      <c r="AG26" s="976"/>
      <c r="AH26" s="977"/>
      <c r="AJ26" s="76"/>
      <c r="AK26" s="62"/>
      <c r="AM26" s="11"/>
      <c r="AN26" s="66"/>
      <c r="AO26" s="66"/>
      <c r="AP26" s="11"/>
    </row>
    <row r="27" spans="2:49" ht="15" thickBot="1" x14ac:dyDescent="0.35">
      <c r="B27" s="15"/>
      <c r="C27" s="103"/>
      <c r="D27" s="104"/>
      <c r="E27" s="104"/>
      <c r="F27" s="104"/>
      <c r="G27" s="105"/>
      <c r="H27" s="104"/>
      <c r="I27" s="993" t="s">
        <v>25</v>
      </c>
      <c r="J27" s="994"/>
      <c r="K27" s="994"/>
      <c r="L27" s="994"/>
      <c r="M27" s="994"/>
      <c r="N27" s="994"/>
      <c r="O27" s="994"/>
      <c r="P27" s="994"/>
      <c r="Q27" s="994"/>
      <c r="R27" s="994"/>
      <c r="S27" s="994"/>
      <c r="T27" s="994"/>
      <c r="U27" s="994"/>
      <c r="V27" s="994"/>
      <c r="W27" s="994"/>
      <c r="X27" s="994"/>
      <c r="Y27" s="994"/>
      <c r="Z27" s="994"/>
      <c r="AA27" s="994"/>
      <c r="AB27" s="994"/>
      <c r="AC27" s="994"/>
      <c r="AD27" s="994"/>
      <c r="AE27" s="994"/>
      <c r="AF27" s="994"/>
      <c r="AG27" s="994"/>
      <c r="AH27" s="106"/>
      <c r="AJ27" s="76"/>
      <c r="AK27" s="62"/>
      <c r="AM27" s="11"/>
      <c r="AN27" s="66"/>
      <c r="AO27" s="66"/>
      <c r="AP27" s="11"/>
    </row>
    <row r="28" spans="2:49" ht="28.5" customHeight="1" thickBot="1" x14ac:dyDescent="0.35">
      <c r="B28" s="15"/>
      <c r="C28" s="107" t="s">
        <v>52</v>
      </c>
      <c r="D28" s="108" t="s">
        <v>185</v>
      </c>
      <c r="E28" s="108" t="s">
        <v>184</v>
      </c>
      <c r="F28" s="108" t="s">
        <v>190</v>
      </c>
      <c r="G28" s="971" t="s">
        <v>121</v>
      </c>
      <c r="H28" s="971"/>
      <c r="I28" s="109">
        <v>1</v>
      </c>
      <c r="J28" s="109">
        <v>2</v>
      </c>
      <c r="K28" s="109">
        <v>3</v>
      </c>
      <c r="L28" s="109">
        <v>4</v>
      </c>
      <c r="M28" s="109">
        <v>5</v>
      </c>
      <c r="N28" s="109">
        <v>6</v>
      </c>
      <c r="O28" s="109">
        <v>7</v>
      </c>
      <c r="P28" s="109">
        <v>8</v>
      </c>
      <c r="Q28" s="109">
        <v>9</v>
      </c>
      <c r="R28" s="109">
        <v>10</v>
      </c>
      <c r="S28" s="109">
        <v>11</v>
      </c>
      <c r="T28" s="109">
        <v>12</v>
      </c>
      <c r="U28" s="109">
        <v>13</v>
      </c>
      <c r="V28" s="109">
        <v>14</v>
      </c>
      <c r="W28" s="109">
        <v>15</v>
      </c>
      <c r="X28" s="109">
        <v>16</v>
      </c>
      <c r="Y28" s="109">
        <v>17</v>
      </c>
      <c r="Z28" s="109">
        <v>18</v>
      </c>
      <c r="AA28" s="109">
        <v>19</v>
      </c>
      <c r="AB28" s="109">
        <v>20</v>
      </c>
      <c r="AC28" s="109">
        <v>21</v>
      </c>
      <c r="AD28" s="109">
        <v>22</v>
      </c>
      <c r="AE28" s="109">
        <v>23</v>
      </c>
      <c r="AF28" s="109">
        <v>24</v>
      </c>
      <c r="AG28" s="109">
        <v>25</v>
      </c>
      <c r="AH28" s="110" t="s">
        <v>53</v>
      </c>
      <c r="AJ28" s="76"/>
      <c r="AK28" s="62"/>
      <c r="AM28" s="11"/>
      <c r="AN28" s="11"/>
      <c r="AO28" s="11"/>
      <c r="AP28" s="11"/>
    </row>
    <row r="29" spans="2:49" ht="15" thickBot="1" x14ac:dyDescent="0.35">
      <c r="B29" s="15"/>
      <c r="C29" s="111">
        <f>C10</f>
        <v>1</v>
      </c>
      <c r="D29" s="112">
        <f>W10</f>
        <v>0</v>
      </c>
      <c r="E29" s="112">
        <f t="shared" ref="E29:F33" si="16">AB10</f>
        <v>0</v>
      </c>
      <c r="F29" s="112">
        <f t="shared" si="16"/>
        <v>0</v>
      </c>
      <c r="G29" s="112">
        <f>IF(D29="",0,D29-E29)</f>
        <v>0</v>
      </c>
      <c r="H29" s="113"/>
      <c r="I29" s="114">
        <f>IF($H10&gt;=25,$G29,IF(I$28&lt;=$H10,$G29,IF(I$28&lt;=($H10*($AD10+1)),$G29,0)))-IF($H10="",0,IF(I$28-1&lt;=($H10*$AD10),$F29,0))*IF(OR($AE10=0,$AE10&gt;25),0,IF(MOD(I$28,$H10)=0,1,0))</f>
        <v>0</v>
      </c>
      <c r="J29" s="114">
        <f t="shared" ref="J29:AG29" si="17">IF($H10&gt;=25,$G29,IF(J$28&lt;=$H10,$G29,IF(J$28&lt;=($H10*($AD10+1)),$G29,0)))-IF($H10="",0,IF(J$28-1&lt;=($H10*$AD10),$F29,0))*IF(OR($AE10=0,$AE10&gt;25),0,IF(MOD(J$28-1,$H10)=0,1,0))</f>
        <v>0</v>
      </c>
      <c r="K29" s="114">
        <f t="shared" si="17"/>
        <v>0</v>
      </c>
      <c r="L29" s="114">
        <f t="shared" si="17"/>
        <v>0</v>
      </c>
      <c r="M29" s="114">
        <f t="shared" si="17"/>
        <v>0</v>
      </c>
      <c r="N29" s="114">
        <f t="shared" si="17"/>
        <v>0</v>
      </c>
      <c r="O29" s="114">
        <f t="shared" si="17"/>
        <v>0</v>
      </c>
      <c r="P29" s="114">
        <f t="shared" si="17"/>
        <v>0</v>
      </c>
      <c r="Q29" s="114">
        <f t="shared" si="17"/>
        <v>0</v>
      </c>
      <c r="R29" s="114">
        <f t="shared" si="17"/>
        <v>0</v>
      </c>
      <c r="S29" s="114">
        <f t="shared" si="17"/>
        <v>0</v>
      </c>
      <c r="T29" s="114">
        <f t="shared" si="17"/>
        <v>0</v>
      </c>
      <c r="U29" s="114">
        <f t="shared" si="17"/>
        <v>0</v>
      </c>
      <c r="V29" s="114">
        <f t="shared" si="17"/>
        <v>0</v>
      </c>
      <c r="W29" s="114">
        <f t="shared" si="17"/>
        <v>0</v>
      </c>
      <c r="X29" s="114">
        <f t="shared" si="17"/>
        <v>0</v>
      </c>
      <c r="Y29" s="114">
        <f t="shared" si="17"/>
        <v>0</v>
      </c>
      <c r="Z29" s="114">
        <f t="shared" si="17"/>
        <v>0</v>
      </c>
      <c r="AA29" s="114">
        <f t="shared" si="17"/>
        <v>0</v>
      </c>
      <c r="AB29" s="114">
        <f t="shared" si="17"/>
        <v>0</v>
      </c>
      <c r="AC29" s="114">
        <f t="shared" si="17"/>
        <v>0</v>
      </c>
      <c r="AD29" s="114">
        <f t="shared" si="17"/>
        <v>0</v>
      </c>
      <c r="AE29" s="114">
        <f t="shared" si="17"/>
        <v>0</v>
      </c>
      <c r="AF29" s="114">
        <f t="shared" si="17"/>
        <v>0</v>
      </c>
      <c r="AG29" s="114">
        <f t="shared" si="17"/>
        <v>0</v>
      </c>
      <c r="AH29" s="115">
        <f t="shared" ref="AH29:AH38" si="18">SUM(I29:AG29)</f>
        <v>0</v>
      </c>
      <c r="AJ29" s="76"/>
      <c r="AK29" s="62"/>
    </row>
    <row r="30" spans="2:49" ht="15" thickBot="1" x14ac:dyDescent="0.35">
      <c r="B30" s="15"/>
      <c r="C30" s="111">
        <f>C11</f>
        <v>2</v>
      </c>
      <c r="D30" s="112">
        <f>W11</f>
        <v>0</v>
      </c>
      <c r="E30" s="112">
        <f t="shared" si="16"/>
        <v>0</v>
      </c>
      <c r="F30" s="112">
        <f t="shared" si="16"/>
        <v>0</v>
      </c>
      <c r="G30" s="112">
        <f t="shared" ref="G30:G38" si="19">IF(D30="",0,D30-E30)</f>
        <v>0</v>
      </c>
      <c r="H30" s="116"/>
      <c r="I30" s="114">
        <f>IF($H11&gt;=25,$G30,IF(I$28&lt;=$H11,$G30,IF(I$28&lt;=($H11*($AD11+1)),$G30,0)))-IF($H11="",0,IF(I$28-1&lt;=($H11*$AD11),$F30,0))*IF(OR($AE11=0,$AE11&gt;25),0,IF(MOD(I$28,$H11)=0,1,0))</f>
        <v>0</v>
      </c>
      <c r="J30" s="114">
        <f t="shared" ref="J30:AG30" si="20">IF($H11&gt;=25,$G30,IF(J$28&lt;=$H11,$G30,IF(J$28&lt;=($H11*($AD11+1)),$G30,0)))-IF($H11="",0,IF(J$28-1&lt;=($H11*$AD11),$F30,0))*IF(OR($AE11=0,$AE11&gt;25),0,IF(MOD(J$28-1,$H11)=0,1,0))</f>
        <v>0</v>
      </c>
      <c r="K30" s="114">
        <f t="shared" si="20"/>
        <v>0</v>
      </c>
      <c r="L30" s="114">
        <f t="shared" si="20"/>
        <v>0</v>
      </c>
      <c r="M30" s="114">
        <f t="shared" si="20"/>
        <v>0</v>
      </c>
      <c r="N30" s="114">
        <f t="shared" si="20"/>
        <v>0</v>
      </c>
      <c r="O30" s="114">
        <f t="shared" si="20"/>
        <v>0</v>
      </c>
      <c r="P30" s="114">
        <f t="shared" si="20"/>
        <v>0</v>
      </c>
      <c r="Q30" s="114">
        <f t="shared" si="20"/>
        <v>0</v>
      </c>
      <c r="R30" s="114">
        <f t="shared" si="20"/>
        <v>0</v>
      </c>
      <c r="S30" s="114">
        <f t="shared" si="20"/>
        <v>0</v>
      </c>
      <c r="T30" s="114">
        <f t="shared" si="20"/>
        <v>0</v>
      </c>
      <c r="U30" s="114">
        <f t="shared" si="20"/>
        <v>0</v>
      </c>
      <c r="V30" s="114">
        <f t="shared" si="20"/>
        <v>0</v>
      </c>
      <c r="W30" s="114">
        <f t="shared" si="20"/>
        <v>0</v>
      </c>
      <c r="X30" s="114">
        <f t="shared" si="20"/>
        <v>0</v>
      </c>
      <c r="Y30" s="114">
        <f t="shared" si="20"/>
        <v>0</v>
      </c>
      <c r="Z30" s="114">
        <f t="shared" si="20"/>
        <v>0</v>
      </c>
      <c r="AA30" s="114">
        <f t="shared" si="20"/>
        <v>0</v>
      </c>
      <c r="AB30" s="114">
        <f t="shared" si="20"/>
        <v>0</v>
      </c>
      <c r="AC30" s="114">
        <f t="shared" si="20"/>
        <v>0</v>
      </c>
      <c r="AD30" s="114">
        <f t="shared" si="20"/>
        <v>0</v>
      </c>
      <c r="AE30" s="114">
        <f t="shared" si="20"/>
        <v>0</v>
      </c>
      <c r="AF30" s="114">
        <f t="shared" si="20"/>
        <v>0</v>
      </c>
      <c r="AG30" s="114">
        <f t="shared" si="20"/>
        <v>0</v>
      </c>
      <c r="AH30" s="115">
        <f t="shared" si="18"/>
        <v>0</v>
      </c>
      <c r="AJ30" s="76"/>
      <c r="AK30" s="62"/>
    </row>
    <row r="31" spans="2:49" ht="15" thickBot="1" x14ac:dyDescent="0.35">
      <c r="B31" s="15"/>
      <c r="C31" s="111">
        <f>C12</f>
        <v>3</v>
      </c>
      <c r="D31" s="112">
        <f>W12</f>
        <v>0</v>
      </c>
      <c r="E31" s="112">
        <f t="shared" si="16"/>
        <v>0</v>
      </c>
      <c r="F31" s="112">
        <f t="shared" si="16"/>
        <v>0</v>
      </c>
      <c r="G31" s="112">
        <f t="shared" si="19"/>
        <v>0</v>
      </c>
      <c r="H31" s="116"/>
      <c r="I31" s="114">
        <f>IF($H12&gt;=25,$G31,IF(I$28&lt;=$H12,$G31,IF(I$28&lt;=($H12*($AD12+1)),$G31,0)))-IF($H12="",0,IF(I$28-1&lt;=($H12*$AD12),$F31,0))*IF(OR($AE12=0,$AE12&gt;25),0,IF(MOD(I$28,$H12)=0,1,0))</f>
        <v>0</v>
      </c>
      <c r="J31" s="114">
        <f t="shared" ref="J31:AG31" si="21">IF($H12&gt;=25,$G31,IF(J$28&lt;=$H12,$G31,IF(J$28&lt;=($H12*($AD12+1)),$G31,0)))-IF($H12="",0,IF(J$28-1&lt;=($H12*$AD12),$F31,0))*IF(OR($AE12=0,$AE12&gt;25),0,IF(MOD(J$28-1,$H12)=0,1,0))</f>
        <v>0</v>
      </c>
      <c r="K31" s="114">
        <f t="shared" si="21"/>
        <v>0</v>
      </c>
      <c r="L31" s="114">
        <f t="shared" si="21"/>
        <v>0</v>
      </c>
      <c r="M31" s="114">
        <f t="shared" si="21"/>
        <v>0</v>
      </c>
      <c r="N31" s="114">
        <f t="shared" si="21"/>
        <v>0</v>
      </c>
      <c r="O31" s="114">
        <f t="shared" si="21"/>
        <v>0</v>
      </c>
      <c r="P31" s="114">
        <f t="shared" si="21"/>
        <v>0</v>
      </c>
      <c r="Q31" s="114">
        <f t="shared" si="21"/>
        <v>0</v>
      </c>
      <c r="R31" s="114">
        <f t="shared" si="21"/>
        <v>0</v>
      </c>
      <c r="S31" s="114">
        <f t="shared" si="21"/>
        <v>0</v>
      </c>
      <c r="T31" s="114">
        <f t="shared" si="21"/>
        <v>0</v>
      </c>
      <c r="U31" s="114">
        <f t="shared" si="21"/>
        <v>0</v>
      </c>
      <c r="V31" s="114">
        <f t="shared" si="21"/>
        <v>0</v>
      </c>
      <c r="W31" s="114">
        <f t="shared" si="21"/>
        <v>0</v>
      </c>
      <c r="X31" s="114">
        <f t="shared" si="21"/>
        <v>0</v>
      </c>
      <c r="Y31" s="114">
        <f t="shared" si="21"/>
        <v>0</v>
      </c>
      <c r="Z31" s="114">
        <f t="shared" si="21"/>
        <v>0</v>
      </c>
      <c r="AA31" s="114">
        <f t="shared" si="21"/>
        <v>0</v>
      </c>
      <c r="AB31" s="114">
        <f t="shared" si="21"/>
        <v>0</v>
      </c>
      <c r="AC31" s="114">
        <f t="shared" si="21"/>
        <v>0</v>
      </c>
      <c r="AD31" s="114">
        <f t="shared" si="21"/>
        <v>0</v>
      </c>
      <c r="AE31" s="114">
        <f t="shared" si="21"/>
        <v>0</v>
      </c>
      <c r="AF31" s="114">
        <f t="shared" si="21"/>
        <v>0</v>
      </c>
      <c r="AG31" s="114">
        <f t="shared" si="21"/>
        <v>0</v>
      </c>
      <c r="AH31" s="115">
        <f t="shared" si="18"/>
        <v>0</v>
      </c>
      <c r="AJ31" s="76"/>
      <c r="AK31" s="62"/>
    </row>
    <row r="32" spans="2:49" ht="15" thickBot="1" x14ac:dyDescent="0.35">
      <c r="B32" s="15"/>
      <c r="C32" s="111">
        <f>C13</f>
        <v>4</v>
      </c>
      <c r="D32" s="112">
        <f>W13</f>
        <v>0</v>
      </c>
      <c r="E32" s="112">
        <f t="shared" si="16"/>
        <v>0</v>
      </c>
      <c r="F32" s="112">
        <f t="shared" si="16"/>
        <v>0</v>
      </c>
      <c r="G32" s="112">
        <f t="shared" si="19"/>
        <v>0</v>
      </c>
      <c r="H32" s="116"/>
      <c r="I32" s="114">
        <f>IF($H13&gt;=25,$G32,IF(I$28&lt;=$H13,$G32,IF(I$28&lt;=($H13*($AD13+1)),$G32,0)))-IF($H13="",0,IF(I$28-1&lt;=($H13*$AD13),$F32,0))*IF(OR($AE13=0,$AE13&gt;25),0,IF(MOD(I$28,$H13)=0,1,0))</f>
        <v>0</v>
      </c>
      <c r="J32" s="114">
        <f t="shared" ref="J32:AG32" si="22">IF($H13&gt;=25,$G32,IF(J$28&lt;=$H13,$G32,IF(J$28&lt;=($H13*($AD13+1)),$G32,0)))-IF($H13="",0,IF(J$28-1&lt;=($H13*$AD13),$F32,0))*IF(OR($AE13=0,$AE13&gt;25),0,IF(MOD(J$28-1,$H13)=0,1,0))</f>
        <v>0</v>
      </c>
      <c r="K32" s="114">
        <f t="shared" si="22"/>
        <v>0</v>
      </c>
      <c r="L32" s="114">
        <f t="shared" si="22"/>
        <v>0</v>
      </c>
      <c r="M32" s="114">
        <f t="shared" si="22"/>
        <v>0</v>
      </c>
      <c r="N32" s="114">
        <f t="shared" si="22"/>
        <v>0</v>
      </c>
      <c r="O32" s="114">
        <f t="shared" si="22"/>
        <v>0</v>
      </c>
      <c r="P32" s="114">
        <f t="shared" si="22"/>
        <v>0</v>
      </c>
      <c r="Q32" s="114">
        <f t="shared" si="22"/>
        <v>0</v>
      </c>
      <c r="R32" s="114">
        <f t="shared" si="22"/>
        <v>0</v>
      </c>
      <c r="S32" s="114">
        <f t="shared" si="22"/>
        <v>0</v>
      </c>
      <c r="T32" s="114">
        <f t="shared" si="22"/>
        <v>0</v>
      </c>
      <c r="U32" s="114">
        <f t="shared" si="22"/>
        <v>0</v>
      </c>
      <c r="V32" s="114">
        <f t="shared" si="22"/>
        <v>0</v>
      </c>
      <c r="W32" s="114">
        <f t="shared" si="22"/>
        <v>0</v>
      </c>
      <c r="X32" s="114">
        <f t="shared" si="22"/>
        <v>0</v>
      </c>
      <c r="Y32" s="114">
        <f t="shared" si="22"/>
        <v>0</v>
      </c>
      <c r="Z32" s="114">
        <f t="shared" si="22"/>
        <v>0</v>
      </c>
      <c r="AA32" s="114">
        <f t="shared" si="22"/>
        <v>0</v>
      </c>
      <c r="AB32" s="114">
        <f t="shared" si="22"/>
        <v>0</v>
      </c>
      <c r="AC32" s="114">
        <f t="shared" si="22"/>
        <v>0</v>
      </c>
      <c r="AD32" s="114">
        <f t="shared" si="22"/>
        <v>0</v>
      </c>
      <c r="AE32" s="114">
        <f t="shared" si="22"/>
        <v>0</v>
      </c>
      <c r="AF32" s="114">
        <f t="shared" si="22"/>
        <v>0</v>
      </c>
      <c r="AG32" s="114">
        <f t="shared" si="22"/>
        <v>0</v>
      </c>
      <c r="AH32" s="115">
        <f t="shared" si="18"/>
        <v>0</v>
      </c>
      <c r="AJ32" s="76"/>
      <c r="AK32" s="62"/>
    </row>
    <row r="33" spans="2:37" ht="15" thickBot="1" x14ac:dyDescent="0.35">
      <c r="B33" s="15"/>
      <c r="C33" s="111">
        <f>C14</f>
        <v>5</v>
      </c>
      <c r="D33" s="112">
        <f>W14</f>
        <v>0</v>
      </c>
      <c r="E33" s="112">
        <f t="shared" si="16"/>
        <v>0</v>
      </c>
      <c r="F33" s="112">
        <f t="shared" si="16"/>
        <v>0</v>
      </c>
      <c r="G33" s="112">
        <f t="shared" si="19"/>
        <v>0</v>
      </c>
      <c r="H33" s="116"/>
      <c r="I33" s="114">
        <f>IF($H14&gt;=25,$G33,IF(I$28&lt;=$H14,$G33,IF(I$28&lt;=($H14*($AD14+1)),$G33,0)))-IF($H14="",0,IF(I$28-1&lt;=($H14*$AD14),$F33,0))*IF(OR($AE14=0,$AE14&gt;25),0,IF(MOD(I$28,$H14)=0,1,0))</f>
        <v>0</v>
      </c>
      <c r="J33" s="114">
        <f t="shared" ref="J33:AG33" si="23">IF($H14&gt;=25,$G33,IF(J$28&lt;=$H14,$G33,IF(J$28&lt;=($H14*($AD14+1)),$G33,0)))-IF($H14="",0,IF(J$28-1&lt;=($H14*$AD14),$F33,0))*IF(OR($AE14=0,$AE14&gt;25),0,IF(MOD(J$28-1,$H14)=0,1,0))</f>
        <v>0</v>
      </c>
      <c r="K33" s="114">
        <f t="shared" si="23"/>
        <v>0</v>
      </c>
      <c r="L33" s="114">
        <f t="shared" si="23"/>
        <v>0</v>
      </c>
      <c r="M33" s="114">
        <f t="shared" si="23"/>
        <v>0</v>
      </c>
      <c r="N33" s="114">
        <f t="shared" si="23"/>
        <v>0</v>
      </c>
      <c r="O33" s="114">
        <f t="shared" si="23"/>
        <v>0</v>
      </c>
      <c r="P33" s="114">
        <f t="shared" si="23"/>
        <v>0</v>
      </c>
      <c r="Q33" s="114">
        <f t="shared" si="23"/>
        <v>0</v>
      </c>
      <c r="R33" s="114">
        <f t="shared" si="23"/>
        <v>0</v>
      </c>
      <c r="S33" s="114">
        <f t="shared" si="23"/>
        <v>0</v>
      </c>
      <c r="T33" s="114">
        <f t="shared" si="23"/>
        <v>0</v>
      </c>
      <c r="U33" s="114">
        <f t="shared" si="23"/>
        <v>0</v>
      </c>
      <c r="V33" s="114">
        <f t="shared" si="23"/>
        <v>0</v>
      </c>
      <c r="W33" s="114">
        <f t="shared" si="23"/>
        <v>0</v>
      </c>
      <c r="X33" s="114">
        <f t="shared" si="23"/>
        <v>0</v>
      </c>
      <c r="Y33" s="114">
        <f t="shared" si="23"/>
        <v>0</v>
      </c>
      <c r="Z33" s="114">
        <f t="shared" si="23"/>
        <v>0</v>
      </c>
      <c r="AA33" s="114">
        <f t="shared" si="23"/>
        <v>0</v>
      </c>
      <c r="AB33" s="114">
        <f t="shared" si="23"/>
        <v>0</v>
      </c>
      <c r="AC33" s="114">
        <f t="shared" si="23"/>
        <v>0</v>
      </c>
      <c r="AD33" s="114">
        <f t="shared" si="23"/>
        <v>0</v>
      </c>
      <c r="AE33" s="114">
        <f t="shared" si="23"/>
        <v>0</v>
      </c>
      <c r="AF33" s="114">
        <f t="shared" si="23"/>
        <v>0</v>
      </c>
      <c r="AG33" s="114">
        <f t="shared" si="23"/>
        <v>0</v>
      </c>
      <c r="AH33" s="115">
        <f t="shared" si="18"/>
        <v>0</v>
      </c>
      <c r="AJ33" s="76"/>
      <c r="AK33" s="62"/>
    </row>
    <row r="34" spans="2:37" ht="15" thickBot="1" x14ac:dyDescent="0.35">
      <c r="B34" s="15"/>
      <c r="C34" s="111">
        <f>C16</f>
        <v>6</v>
      </c>
      <c r="D34" s="117">
        <f>W16</f>
        <v>0</v>
      </c>
      <c r="E34" s="117">
        <f t="shared" ref="E34:F38" si="24">AB16</f>
        <v>0</v>
      </c>
      <c r="F34" s="117">
        <f t="shared" si="24"/>
        <v>0</v>
      </c>
      <c r="G34" s="112">
        <f t="shared" si="19"/>
        <v>0</v>
      </c>
      <c r="H34" s="118"/>
      <c r="I34" s="114">
        <f>IF($H16&gt;=25,$G34,IF(I$28&lt;=$H16,$G34,IF(I$28&lt;=($H16*($AD16+1)),$G34,0)))-IF(I$28-1&lt;=($H16*$AD16),$F34,0)*IF(OR($AE16=0,$AE16&gt;25),0,IF(MOD(I$28,$H16)=0,1,0))</f>
        <v>0</v>
      </c>
      <c r="J34" s="114">
        <f t="shared" ref="J34:AG34" si="25">IF($H16&gt;=25,$G34,IF(J$28&lt;=$H16,$G34,IF(J$28&lt;=($H16*($AD16+1)),$G34,0)))-IF(J$28-1&lt;=($H16*$AD16),$F34,0)*IF(OR($AE16=0,$AE16&gt;25),0,IF(MOD(J$28-1,$H16)=0,1,0))</f>
        <v>0</v>
      </c>
      <c r="K34" s="114">
        <f t="shared" si="25"/>
        <v>0</v>
      </c>
      <c r="L34" s="114">
        <f t="shared" si="25"/>
        <v>0</v>
      </c>
      <c r="M34" s="114">
        <f t="shared" si="25"/>
        <v>0</v>
      </c>
      <c r="N34" s="114">
        <f t="shared" si="25"/>
        <v>0</v>
      </c>
      <c r="O34" s="114">
        <f t="shared" si="25"/>
        <v>0</v>
      </c>
      <c r="P34" s="114">
        <f t="shared" si="25"/>
        <v>0</v>
      </c>
      <c r="Q34" s="114">
        <f t="shared" si="25"/>
        <v>0</v>
      </c>
      <c r="R34" s="114">
        <f t="shared" si="25"/>
        <v>0</v>
      </c>
      <c r="S34" s="114">
        <f t="shared" si="25"/>
        <v>0</v>
      </c>
      <c r="T34" s="114">
        <f t="shared" si="25"/>
        <v>0</v>
      </c>
      <c r="U34" s="114">
        <f t="shared" si="25"/>
        <v>0</v>
      </c>
      <c r="V34" s="114">
        <f t="shared" si="25"/>
        <v>0</v>
      </c>
      <c r="W34" s="114">
        <f t="shared" si="25"/>
        <v>0</v>
      </c>
      <c r="X34" s="114">
        <f t="shared" si="25"/>
        <v>0</v>
      </c>
      <c r="Y34" s="114">
        <f t="shared" si="25"/>
        <v>0</v>
      </c>
      <c r="Z34" s="114">
        <f t="shared" si="25"/>
        <v>0</v>
      </c>
      <c r="AA34" s="114">
        <f t="shared" si="25"/>
        <v>0</v>
      </c>
      <c r="AB34" s="114">
        <f t="shared" si="25"/>
        <v>0</v>
      </c>
      <c r="AC34" s="114">
        <f t="shared" si="25"/>
        <v>0</v>
      </c>
      <c r="AD34" s="114">
        <f t="shared" si="25"/>
        <v>0</v>
      </c>
      <c r="AE34" s="114">
        <f t="shared" si="25"/>
        <v>0</v>
      </c>
      <c r="AF34" s="114">
        <f t="shared" si="25"/>
        <v>0</v>
      </c>
      <c r="AG34" s="114">
        <f t="shared" si="25"/>
        <v>0</v>
      </c>
      <c r="AH34" s="115">
        <f t="shared" si="18"/>
        <v>0</v>
      </c>
      <c r="AJ34" s="76"/>
      <c r="AK34" s="62"/>
    </row>
    <row r="35" spans="2:37" ht="15" thickBot="1" x14ac:dyDescent="0.35">
      <c r="B35" s="15"/>
      <c r="C35" s="111">
        <f>C17</f>
        <v>7</v>
      </c>
      <c r="D35" s="117">
        <f>W17</f>
        <v>0</v>
      </c>
      <c r="E35" s="117">
        <f t="shared" si="24"/>
        <v>0</v>
      </c>
      <c r="F35" s="117">
        <f t="shared" si="24"/>
        <v>0</v>
      </c>
      <c r="G35" s="112">
        <f t="shared" si="19"/>
        <v>0</v>
      </c>
      <c r="H35" s="118"/>
      <c r="I35" s="114">
        <f>IF($H17&gt;=25,$G35,IF(I$28&lt;=$H17,$G35,IF(I$28&lt;=($H17*($AD17+1)),$G35,0)))-IF(I$28-1&lt;=($H17*$AD17),$F35,0)*IF(OR($AE17=0,$AE17&gt;25),0,IF(MOD(I$28,$H17)=0,1,0))</f>
        <v>0</v>
      </c>
      <c r="J35" s="114">
        <f t="shared" ref="J35:AG35" si="26">IF($H17&gt;=25,$G35,IF(J$28&lt;=$H17,$G35,IF(J$28&lt;=($H17*($AD17+1)),$G35,0)))-IF(J$28-1&lt;=($H17*$AD17),$F35,0)*IF(OR($AE17=0,$AE17&gt;25),0,IF(MOD(J$28-1,$H17)=0,1,0))</f>
        <v>0</v>
      </c>
      <c r="K35" s="114">
        <f t="shared" si="26"/>
        <v>0</v>
      </c>
      <c r="L35" s="114">
        <f t="shared" si="26"/>
        <v>0</v>
      </c>
      <c r="M35" s="114">
        <f t="shared" si="26"/>
        <v>0</v>
      </c>
      <c r="N35" s="114">
        <f t="shared" si="26"/>
        <v>0</v>
      </c>
      <c r="O35" s="114">
        <f t="shared" si="26"/>
        <v>0</v>
      </c>
      <c r="P35" s="114">
        <f t="shared" si="26"/>
        <v>0</v>
      </c>
      <c r="Q35" s="114">
        <f t="shared" si="26"/>
        <v>0</v>
      </c>
      <c r="R35" s="114">
        <f t="shared" si="26"/>
        <v>0</v>
      </c>
      <c r="S35" s="114">
        <f t="shared" si="26"/>
        <v>0</v>
      </c>
      <c r="T35" s="114">
        <f t="shared" si="26"/>
        <v>0</v>
      </c>
      <c r="U35" s="114">
        <f t="shared" si="26"/>
        <v>0</v>
      </c>
      <c r="V35" s="114">
        <f t="shared" si="26"/>
        <v>0</v>
      </c>
      <c r="W35" s="114">
        <f t="shared" si="26"/>
        <v>0</v>
      </c>
      <c r="X35" s="114">
        <f t="shared" si="26"/>
        <v>0</v>
      </c>
      <c r="Y35" s="114">
        <f t="shared" si="26"/>
        <v>0</v>
      </c>
      <c r="Z35" s="114">
        <f t="shared" si="26"/>
        <v>0</v>
      </c>
      <c r="AA35" s="114">
        <f t="shared" si="26"/>
        <v>0</v>
      </c>
      <c r="AB35" s="114">
        <f t="shared" si="26"/>
        <v>0</v>
      </c>
      <c r="AC35" s="114">
        <f t="shared" si="26"/>
        <v>0</v>
      </c>
      <c r="AD35" s="114">
        <f t="shared" si="26"/>
        <v>0</v>
      </c>
      <c r="AE35" s="114">
        <f t="shared" si="26"/>
        <v>0</v>
      </c>
      <c r="AF35" s="114">
        <f t="shared" si="26"/>
        <v>0</v>
      </c>
      <c r="AG35" s="114">
        <f t="shared" si="26"/>
        <v>0</v>
      </c>
      <c r="AH35" s="115">
        <f>SUM(I35:AG35)</f>
        <v>0</v>
      </c>
      <c r="AJ35" s="76"/>
      <c r="AK35" s="62"/>
    </row>
    <row r="36" spans="2:37" ht="15" thickBot="1" x14ac:dyDescent="0.35">
      <c r="B36" s="15"/>
      <c r="C36" s="111">
        <f>C18</f>
        <v>8</v>
      </c>
      <c r="D36" s="117">
        <f>W18</f>
        <v>0</v>
      </c>
      <c r="E36" s="117">
        <f t="shared" si="24"/>
        <v>0</v>
      </c>
      <c r="F36" s="117">
        <f t="shared" si="24"/>
        <v>0</v>
      </c>
      <c r="G36" s="112">
        <f t="shared" si="19"/>
        <v>0</v>
      </c>
      <c r="H36" s="118"/>
      <c r="I36" s="114">
        <f>IF($H18&gt;=25,$G36,IF(I$28&lt;=$H18,$G36,IF(I$28&lt;=($H18*($AD18+1)),$G36,0)))-IF(I$28-1&lt;=($H18*$AD18),$F36,0)*IF(OR($AE18=0,$AE18&gt;25),0,IF(MOD(I$28,$H18)=0,1,0))</f>
        <v>0</v>
      </c>
      <c r="J36" s="114">
        <f t="shared" ref="J36:AG36" si="27">IF($H18&gt;=25,$G36,IF(J$28&lt;=$H18,$G36,IF(J$28&lt;=($H18*($AD18+1)),$G36,0)))-IF(J$28-1&lt;=($H18*$AD18),$F36,0)*IF(OR($AE18=0,$AE18&gt;25),0,IF(MOD(J$28-1,$H18)=0,1,0))</f>
        <v>0</v>
      </c>
      <c r="K36" s="114">
        <f t="shared" si="27"/>
        <v>0</v>
      </c>
      <c r="L36" s="114">
        <f t="shared" si="27"/>
        <v>0</v>
      </c>
      <c r="M36" s="114">
        <f t="shared" si="27"/>
        <v>0</v>
      </c>
      <c r="N36" s="114">
        <f t="shared" si="27"/>
        <v>0</v>
      </c>
      <c r="O36" s="114">
        <f t="shared" si="27"/>
        <v>0</v>
      </c>
      <c r="P36" s="114">
        <f t="shared" si="27"/>
        <v>0</v>
      </c>
      <c r="Q36" s="114">
        <f t="shared" si="27"/>
        <v>0</v>
      </c>
      <c r="R36" s="114">
        <f t="shared" si="27"/>
        <v>0</v>
      </c>
      <c r="S36" s="114">
        <f t="shared" si="27"/>
        <v>0</v>
      </c>
      <c r="T36" s="114">
        <f t="shared" si="27"/>
        <v>0</v>
      </c>
      <c r="U36" s="114">
        <f t="shared" si="27"/>
        <v>0</v>
      </c>
      <c r="V36" s="114">
        <f t="shared" si="27"/>
        <v>0</v>
      </c>
      <c r="W36" s="114">
        <f t="shared" si="27"/>
        <v>0</v>
      </c>
      <c r="X36" s="114">
        <f t="shared" si="27"/>
        <v>0</v>
      </c>
      <c r="Y36" s="114">
        <f t="shared" si="27"/>
        <v>0</v>
      </c>
      <c r="Z36" s="114">
        <f t="shared" si="27"/>
        <v>0</v>
      </c>
      <c r="AA36" s="114">
        <f t="shared" si="27"/>
        <v>0</v>
      </c>
      <c r="AB36" s="114">
        <f t="shared" si="27"/>
        <v>0</v>
      </c>
      <c r="AC36" s="114">
        <f t="shared" si="27"/>
        <v>0</v>
      </c>
      <c r="AD36" s="114">
        <f t="shared" si="27"/>
        <v>0</v>
      </c>
      <c r="AE36" s="114">
        <f t="shared" si="27"/>
        <v>0</v>
      </c>
      <c r="AF36" s="114">
        <f t="shared" si="27"/>
        <v>0</v>
      </c>
      <c r="AG36" s="114">
        <f t="shared" si="27"/>
        <v>0</v>
      </c>
      <c r="AH36" s="115">
        <f t="shared" si="18"/>
        <v>0</v>
      </c>
      <c r="AJ36" s="76"/>
      <c r="AK36" s="62"/>
    </row>
    <row r="37" spans="2:37" ht="15" thickBot="1" x14ac:dyDescent="0.35">
      <c r="B37" s="15"/>
      <c r="C37" s="111">
        <f>C19</f>
        <v>9</v>
      </c>
      <c r="D37" s="117">
        <f>W19</f>
        <v>0</v>
      </c>
      <c r="E37" s="117">
        <f t="shared" si="24"/>
        <v>0</v>
      </c>
      <c r="F37" s="117">
        <f t="shared" si="24"/>
        <v>0</v>
      </c>
      <c r="G37" s="112">
        <f t="shared" si="19"/>
        <v>0</v>
      </c>
      <c r="H37" s="118"/>
      <c r="I37" s="114">
        <f>IF($H19&gt;=25,$G37,IF(I$28&lt;=$H19,$G37,IF(I$28&lt;=($H19*($AD19+1)),$G37,0)))-IF(I$28-1&lt;=($H19*$AD19),$F37,0)*IF(OR($AE19=0,$AE19&gt;25),0,IF(MOD(I$28,$H19)=0,1,0))</f>
        <v>0</v>
      </c>
      <c r="J37" s="114">
        <f t="shared" ref="J37:AG37" si="28">IF($H19&gt;=25,$G37,IF(J$28&lt;=$H19,$G37,IF(J$28&lt;=($H19*($AD19+1)),$G37,0)))-IF(J$28-1&lt;=($H19*$AD19),$F37,0)*IF(OR($AE19=0,$AE19&gt;25),0,IF(MOD(J$28-1,$H19)=0,1,0))</f>
        <v>0</v>
      </c>
      <c r="K37" s="114">
        <f t="shared" si="28"/>
        <v>0</v>
      </c>
      <c r="L37" s="114">
        <f t="shared" si="28"/>
        <v>0</v>
      </c>
      <c r="M37" s="114">
        <f t="shared" si="28"/>
        <v>0</v>
      </c>
      <c r="N37" s="114">
        <f t="shared" si="28"/>
        <v>0</v>
      </c>
      <c r="O37" s="114">
        <f t="shared" si="28"/>
        <v>0</v>
      </c>
      <c r="P37" s="114">
        <f t="shared" si="28"/>
        <v>0</v>
      </c>
      <c r="Q37" s="114">
        <f t="shared" si="28"/>
        <v>0</v>
      </c>
      <c r="R37" s="114">
        <f t="shared" si="28"/>
        <v>0</v>
      </c>
      <c r="S37" s="114">
        <f t="shared" si="28"/>
        <v>0</v>
      </c>
      <c r="T37" s="114">
        <f t="shared" si="28"/>
        <v>0</v>
      </c>
      <c r="U37" s="114">
        <f t="shared" si="28"/>
        <v>0</v>
      </c>
      <c r="V37" s="114">
        <f t="shared" si="28"/>
        <v>0</v>
      </c>
      <c r="W37" s="114">
        <f t="shared" si="28"/>
        <v>0</v>
      </c>
      <c r="X37" s="114">
        <f t="shared" si="28"/>
        <v>0</v>
      </c>
      <c r="Y37" s="114">
        <f t="shared" si="28"/>
        <v>0</v>
      </c>
      <c r="Z37" s="114">
        <f t="shared" si="28"/>
        <v>0</v>
      </c>
      <c r="AA37" s="114">
        <f t="shared" si="28"/>
        <v>0</v>
      </c>
      <c r="AB37" s="114">
        <f t="shared" si="28"/>
        <v>0</v>
      </c>
      <c r="AC37" s="114">
        <f t="shared" si="28"/>
        <v>0</v>
      </c>
      <c r="AD37" s="114">
        <f t="shared" si="28"/>
        <v>0</v>
      </c>
      <c r="AE37" s="114">
        <f t="shared" si="28"/>
        <v>0</v>
      </c>
      <c r="AF37" s="114">
        <f t="shared" si="28"/>
        <v>0</v>
      </c>
      <c r="AG37" s="114">
        <f t="shared" si="28"/>
        <v>0</v>
      </c>
      <c r="AH37" s="115">
        <f t="shared" si="18"/>
        <v>0</v>
      </c>
      <c r="AJ37" s="76"/>
      <c r="AK37" s="62"/>
    </row>
    <row r="38" spans="2:37" ht="15" thickBot="1" x14ac:dyDescent="0.35">
      <c r="B38" s="15"/>
      <c r="C38" s="111">
        <f>C20</f>
        <v>10</v>
      </c>
      <c r="D38" s="117">
        <f>W20</f>
        <v>0</v>
      </c>
      <c r="E38" s="117">
        <f t="shared" si="24"/>
        <v>0</v>
      </c>
      <c r="F38" s="117">
        <f t="shared" si="24"/>
        <v>0</v>
      </c>
      <c r="G38" s="112">
        <f t="shared" si="19"/>
        <v>0</v>
      </c>
      <c r="H38" s="118"/>
      <c r="I38" s="114">
        <f>IF($H20&gt;=25,$G38,IF(I$28&lt;=$H20,$G38,IF(I$28&lt;=($H20*($AD20+1)),$G38,0)))-IF(I$28-1&lt;=($H20*$AD20),$F38,0)*IF(OR($AE20=0,$AE20&gt;25),0,IF(MOD(I$28,$H20)=0,1,0))</f>
        <v>0</v>
      </c>
      <c r="J38" s="114">
        <f t="shared" ref="J38:AG38" si="29">IF($H20&gt;=25,$G38,IF(J$28&lt;=$H20,$G38,IF(J$28&lt;=($H20*($AD20+1)),$G38,0)))-IF(J$28-1&lt;=($H20*$AD20),$F38,0)*IF(OR($AE20=0,$AE20&gt;25),0,IF(MOD(J$28-1,$H20)=0,1,0))</f>
        <v>0</v>
      </c>
      <c r="K38" s="114">
        <f t="shared" si="29"/>
        <v>0</v>
      </c>
      <c r="L38" s="114">
        <f t="shared" si="29"/>
        <v>0</v>
      </c>
      <c r="M38" s="114">
        <f t="shared" si="29"/>
        <v>0</v>
      </c>
      <c r="N38" s="114">
        <f t="shared" si="29"/>
        <v>0</v>
      </c>
      <c r="O38" s="114">
        <f t="shared" si="29"/>
        <v>0</v>
      </c>
      <c r="P38" s="114">
        <f t="shared" si="29"/>
        <v>0</v>
      </c>
      <c r="Q38" s="114">
        <f t="shared" si="29"/>
        <v>0</v>
      </c>
      <c r="R38" s="114">
        <f t="shared" si="29"/>
        <v>0</v>
      </c>
      <c r="S38" s="114">
        <f t="shared" si="29"/>
        <v>0</v>
      </c>
      <c r="T38" s="114">
        <f t="shared" si="29"/>
        <v>0</v>
      </c>
      <c r="U38" s="114">
        <f t="shared" si="29"/>
        <v>0</v>
      </c>
      <c r="V38" s="114">
        <f t="shared" si="29"/>
        <v>0</v>
      </c>
      <c r="W38" s="114">
        <f t="shared" si="29"/>
        <v>0</v>
      </c>
      <c r="X38" s="114">
        <f t="shared" si="29"/>
        <v>0</v>
      </c>
      <c r="Y38" s="114">
        <f t="shared" si="29"/>
        <v>0</v>
      </c>
      <c r="Z38" s="114">
        <f t="shared" si="29"/>
        <v>0</v>
      </c>
      <c r="AA38" s="114">
        <f t="shared" si="29"/>
        <v>0</v>
      </c>
      <c r="AB38" s="114">
        <f t="shared" si="29"/>
        <v>0</v>
      </c>
      <c r="AC38" s="114">
        <f t="shared" si="29"/>
        <v>0</v>
      </c>
      <c r="AD38" s="114">
        <f t="shared" si="29"/>
        <v>0</v>
      </c>
      <c r="AE38" s="114">
        <f t="shared" si="29"/>
        <v>0</v>
      </c>
      <c r="AF38" s="114">
        <f t="shared" si="29"/>
        <v>0</v>
      </c>
      <c r="AG38" s="114">
        <f t="shared" si="29"/>
        <v>0</v>
      </c>
      <c r="AH38" s="115">
        <f t="shared" si="18"/>
        <v>0</v>
      </c>
      <c r="AJ38" s="76"/>
      <c r="AK38" s="62"/>
    </row>
    <row r="39" spans="2:37" ht="15" thickBot="1" x14ac:dyDescent="0.35">
      <c r="B39" s="15"/>
      <c r="C39" s="111"/>
      <c r="D39" s="119"/>
      <c r="E39" s="119"/>
      <c r="F39" s="119"/>
      <c r="G39" s="116"/>
      <c r="H39" s="120" t="s">
        <v>54</v>
      </c>
      <c r="I39" s="121">
        <f>SUM(I29:I38)</f>
        <v>0</v>
      </c>
      <c r="J39" s="121">
        <f t="shared" ref="J39:AH39" si="30">SUM(J29:J38)</f>
        <v>0</v>
      </c>
      <c r="K39" s="121">
        <f t="shared" si="30"/>
        <v>0</v>
      </c>
      <c r="L39" s="121">
        <f t="shared" si="30"/>
        <v>0</v>
      </c>
      <c r="M39" s="121">
        <f t="shared" si="30"/>
        <v>0</v>
      </c>
      <c r="N39" s="121">
        <f t="shared" si="30"/>
        <v>0</v>
      </c>
      <c r="O39" s="121">
        <f t="shared" si="30"/>
        <v>0</v>
      </c>
      <c r="P39" s="121">
        <f t="shared" si="30"/>
        <v>0</v>
      </c>
      <c r="Q39" s="121">
        <f t="shared" si="30"/>
        <v>0</v>
      </c>
      <c r="R39" s="121">
        <f t="shared" si="30"/>
        <v>0</v>
      </c>
      <c r="S39" s="121">
        <f t="shared" si="30"/>
        <v>0</v>
      </c>
      <c r="T39" s="121">
        <f t="shared" si="30"/>
        <v>0</v>
      </c>
      <c r="U39" s="121">
        <f t="shared" si="30"/>
        <v>0</v>
      </c>
      <c r="V39" s="121">
        <f t="shared" si="30"/>
        <v>0</v>
      </c>
      <c r="W39" s="121">
        <f t="shared" si="30"/>
        <v>0</v>
      </c>
      <c r="X39" s="121">
        <f t="shared" si="30"/>
        <v>0</v>
      </c>
      <c r="Y39" s="121">
        <f t="shared" si="30"/>
        <v>0</v>
      </c>
      <c r="Z39" s="121">
        <f t="shared" si="30"/>
        <v>0</v>
      </c>
      <c r="AA39" s="121">
        <f t="shared" si="30"/>
        <v>0</v>
      </c>
      <c r="AB39" s="121">
        <f t="shared" si="30"/>
        <v>0</v>
      </c>
      <c r="AC39" s="121">
        <f t="shared" si="30"/>
        <v>0</v>
      </c>
      <c r="AD39" s="121">
        <f t="shared" si="30"/>
        <v>0</v>
      </c>
      <c r="AE39" s="121">
        <f t="shared" si="30"/>
        <v>0</v>
      </c>
      <c r="AF39" s="121">
        <f t="shared" si="30"/>
        <v>0</v>
      </c>
      <c r="AG39" s="121">
        <f t="shared" si="30"/>
        <v>0</v>
      </c>
      <c r="AH39" s="122">
        <f t="shared" si="30"/>
        <v>0</v>
      </c>
      <c r="AJ39" s="76"/>
      <c r="AK39" s="62"/>
    </row>
    <row r="40" spans="2:37" ht="15" thickBot="1" x14ac:dyDescent="0.35">
      <c r="B40" s="15"/>
      <c r="C40" s="111"/>
      <c r="D40" s="123"/>
      <c r="E40" s="123"/>
      <c r="F40" s="123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24"/>
      <c r="AJ40" s="76"/>
      <c r="AK40" s="62"/>
    </row>
    <row r="41" spans="2:37" ht="28.5" customHeight="1" thickBot="1" x14ac:dyDescent="0.35">
      <c r="B41" s="15"/>
      <c r="C41" s="107" t="s">
        <v>52</v>
      </c>
      <c r="D41" s="125" t="s">
        <v>191</v>
      </c>
      <c r="E41" s="126"/>
      <c r="F41" s="126"/>
      <c r="G41" s="971" t="s">
        <v>192</v>
      </c>
      <c r="H41" s="971"/>
      <c r="I41" s="109">
        <v>1</v>
      </c>
      <c r="J41" s="109">
        <v>2</v>
      </c>
      <c r="K41" s="109">
        <v>3</v>
      </c>
      <c r="L41" s="109">
        <v>4</v>
      </c>
      <c r="M41" s="109">
        <v>5</v>
      </c>
      <c r="N41" s="109">
        <v>6</v>
      </c>
      <c r="O41" s="109">
        <v>7</v>
      </c>
      <c r="P41" s="109">
        <v>8</v>
      </c>
      <c r="Q41" s="109">
        <v>9</v>
      </c>
      <c r="R41" s="109">
        <v>10</v>
      </c>
      <c r="S41" s="109">
        <v>11</v>
      </c>
      <c r="T41" s="109">
        <v>12</v>
      </c>
      <c r="U41" s="109">
        <v>13</v>
      </c>
      <c r="V41" s="109">
        <v>14</v>
      </c>
      <c r="W41" s="109">
        <v>15</v>
      </c>
      <c r="X41" s="109">
        <v>16</v>
      </c>
      <c r="Y41" s="109">
        <v>17</v>
      </c>
      <c r="Z41" s="109">
        <v>18</v>
      </c>
      <c r="AA41" s="109">
        <v>19</v>
      </c>
      <c r="AB41" s="109">
        <v>20</v>
      </c>
      <c r="AC41" s="109">
        <v>21</v>
      </c>
      <c r="AD41" s="109">
        <v>22</v>
      </c>
      <c r="AE41" s="109">
        <v>23</v>
      </c>
      <c r="AF41" s="109">
        <v>24</v>
      </c>
      <c r="AG41" s="109">
        <v>25</v>
      </c>
      <c r="AH41" s="110" t="s">
        <v>53</v>
      </c>
      <c r="AJ41" s="76"/>
      <c r="AK41" s="62"/>
    </row>
    <row r="42" spans="2:37" ht="15" thickBot="1" x14ac:dyDescent="0.35">
      <c r="B42" s="15"/>
      <c r="C42" s="127">
        <f t="shared" ref="C42:C51" si="31">C29</f>
        <v>1</v>
      </c>
      <c r="D42" s="422">
        <f>V10</f>
        <v>0</v>
      </c>
      <c r="E42" s="423"/>
      <c r="F42" s="423"/>
      <c r="G42" s="422">
        <f>IF(D42="","",D42-E42-F42)</f>
        <v>0</v>
      </c>
      <c r="H42" s="424"/>
      <c r="I42" s="417">
        <f t="shared" ref="I42:AG42" si="32">IF($H10&gt;=25,$G42,IF(I$41&lt;=$H10,$G42,IF(I$41&lt;=($H10*($AD10+1)),$G42,0)))</f>
        <v>0</v>
      </c>
      <c r="J42" s="417">
        <f t="shared" si="32"/>
        <v>0</v>
      </c>
      <c r="K42" s="417">
        <f t="shared" si="32"/>
        <v>0</v>
      </c>
      <c r="L42" s="417">
        <f t="shared" si="32"/>
        <v>0</v>
      </c>
      <c r="M42" s="417">
        <f t="shared" si="32"/>
        <v>0</v>
      </c>
      <c r="N42" s="417">
        <f t="shared" si="32"/>
        <v>0</v>
      </c>
      <c r="O42" s="417">
        <f t="shared" si="32"/>
        <v>0</v>
      </c>
      <c r="P42" s="417">
        <f t="shared" si="32"/>
        <v>0</v>
      </c>
      <c r="Q42" s="417">
        <f t="shared" si="32"/>
        <v>0</v>
      </c>
      <c r="R42" s="417">
        <f t="shared" si="32"/>
        <v>0</v>
      </c>
      <c r="S42" s="417">
        <f t="shared" si="32"/>
        <v>0</v>
      </c>
      <c r="T42" s="417">
        <f t="shared" si="32"/>
        <v>0</v>
      </c>
      <c r="U42" s="417">
        <f t="shared" si="32"/>
        <v>0</v>
      </c>
      <c r="V42" s="417">
        <f t="shared" si="32"/>
        <v>0</v>
      </c>
      <c r="W42" s="417">
        <f t="shared" si="32"/>
        <v>0</v>
      </c>
      <c r="X42" s="417">
        <f t="shared" si="32"/>
        <v>0</v>
      </c>
      <c r="Y42" s="417">
        <f t="shared" si="32"/>
        <v>0</v>
      </c>
      <c r="Z42" s="417">
        <f t="shared" si="32"/>
        <v>0</v>
      </c>
      <c r="AA42" s="417">
        <f t="shared" si="32"/>
        <v>0</v>
      </c>
      <c r="AB42" s="417">
        <f t="shared" si="32"/>
        <v>0</v>
      </c>
      <c r="AC42" s="417">
        <f t="shared" si="32"/>
        <v>0</v>
      </c>
      <c r="AD42" s="417">
        <f t="shared" si="32"/>
        <v>0</v>
      </c>
      <c r="AE42" s="417">
        <f t="shared" si="32"/>
        <v>0</v>
      </c>
      <c r="AF42" s="417">
        <f t="shared" si="32"/>
        <v>0</v>
      </c>
      <c r="AG42" s="417">
        <f t="shared" si="32"/>
        <v>0</v>
      </c>
      <c r="AH42" s="418">
        <f t="shared" ref="AH42:AH50" si="33">SUM(I42:AG42)</f>
        <v>0</v>
      </c>
      <c r="AJ42" s="76"/>
      <c r="AK42" s="62"/>
    </row>
    <row r="43" spans="2:37" ht="15" thickBot="1" x14ac:dyDescent="0.35">
      <c r="B43" s="15"/>
      <c r="C43" s="127">
        <f t="shared" si="31"/>
        <v>2</v>
      </c>
      <c r="D43" s="422">
        <f>V11</f>
        <v>0</v>
      </c>
      <c r="E43" s="423"/>
      <c r="F43" s="423"/>
      <c r="G43" s="422">
        <f t="shared" ref="G43:G51" si="34">IF(D43="","",D43-E43-F43)</f>
        <v>0</v>
      </c>
      <c r="H43" s="424"/>
      <c r="I43" s="417">
        <f t="shared" ref="I43:AG43" si="35">IF($H11&gt;=25,$G43,IF(I$41&lt;=$H11,$G43,IF(I$41&lt;=($H11*($AD11+1)),$G43,0)))</f>
        <v>0</v>
      </c>
      <c r="J43" s="417">
        <f t="shared" si="35"/>
        <v>0</v>
      </c>
      <c r="K43" s="417">
        <f t="shared" si="35"/>
        <v>0</v>
      </c>
      <c r="L43" s="417">
        <f t="shared" si="35"/>
        <v>0</v>
      </c>
      <c r="M43" s="417">
        <f t="shared" si="35"/>
        <v>0</v>
      </c>
      <c r="N43" s="417">
        <f t="shared" si="35"/>
        <v>0</v>
      </c>
      <c r="O43" s="417">
        <f t="shared" si="35"/>
        <v>0</v>
      </c>
      <c r="P43" s="417">
        <f t="shared" si="35"/>
        <v>0</v>
      </c>
      <c r="Q43" s="417">
        <f t="shared" si="35"/>
        <v>0</v>
      </c>
      <c r="R43" s="417">
        <f t="shared" si="35"/>
        <v>0</v>
      </c>
      <c r="S43" s="417">
        <f t="shared" si="35"/>
        <v>0</v>
      </c>
      <c r="T43" s="417">
        <f t="shared" si="35"/>
        <v>0</v>
      </c>
      <c r="U43" s="417">
        <f t="shared" si="35"/>
        <v>0</v>
      </c>
      <c r="V43" s="417">
        <f t="shared" si="35"/>
        <v>0</v>
      </c>
      <c r="W43" s="417">
        <f t="shared" si="35"/>
        <v>0</v>
      </c>
      <c r="X43" s="417">
        <f t="shared" si="35"/>
        <v>0</v>
      </c>
      <c r="Y43" s="417">
        <f t="shared" si="35"/>
        <v>0</v>
      </c>
      <c r="Z43" s="417">
        <f t="shared" si="35"/>
        <v>0</v>
      </c>
      <c r="AA43" s="417">
        <f t="shared" si="35"/>
        <v>0</v>
      </c>
      <c r="AB43" s="417">
        <f t="shared" si="35"/>
        <v>0</v>
      </c>
      <c r="AC43" s="417">
        <f t="shared" si="35"/>
        <v>0</v>
      </c>
      <c r="AD43" s="417">
        <f t="shared" si="35"/>
        <v>0</v>
      </c>
      <c r="AE43" s="417">
        <f t="shared" si="35"/>
        <v>0</v>
      </c>
      <c r="AF43" s="417">
        <f t="shared" si="35"/>
        <v>0</v>
      </c>
      <c r="AG43" s="417">
        <f t="shared" si="35"/>
        <v>0</v>
      </c>
      <c r="AH43" s="418">
        <f t="shared" si="33"/>
        <v>0</v>
      </c>
      <c r="AJ43" s="76"/>
      <c r="AK43" s="62"/>
    </row>
    <row r="44" spans="2:37" ht="15" thickBot="1" x14ac:dyDescent="0.35">
      <c r="B44" s="15"/>
      <c r="C44" s="127">
        <f t="shared" si="31"/>
        <v>3</v>
      </c>
      <c r="D44" s="422">
        <f>V12</f>
        <v>0</v>
      </c>
      <c r="E44" s="423"/>
      <c r="F44" s="423"/>
      <c r="G44" s="422">
        <f t="shared" si="34"/>
        <v>0</v>
      </c>
      <c r="H44" s="424"/>
      <c r="I44" s="417">
        <f t="shared" ref="I44:AG44" si="36">IF($H12&gt;=25,$G44,IF(I$41&lt;=$H12,$G44,IF(I$41&lt;=($H12*($AD12+1)),$G44,0)))</f>
        <v>0</v>
      </c>
      <c r="J44" s="417">
        <f t="shared" si="36"/>
        <v>0</v>
      </c>
      <c r="K44" s="417">
        <f t="shared" si="36"/>
        <v>0</v>
      </c>
      <c r="L44" s="417">
        <f t="shared" si="36"/>
        <v>0</v>
      </c>
      <c r="M44" s="417">
        <f t="shared" si="36"/>
        <v>0</v>
      </c>
      <c r="N44" s="417">
        <f t="shared" si="36"/>
        <v>0</v>
      </c>
      <c r="O44" s="417">
        <f t="shared" si="36"/>
        <v>0</v>
      </c>
      <c r="P44" s="417">
        <f t="shared" si="36"/>
        <v>0</v>
      </c>
      <c r="Q44" s="417">
        <f t="shared" si="36"/>
        <v>0</v>
      </c>
      <c r="R44" s="417">
        <f t="shared" si="36"/>
        <v>0</v>
      </c>
      <c r="S44" s="417">
        <f t="shared" si="36"/>
        <v>0</v>
      </c>
      <c r="T44" s="417">
        <f t="shared" si="36"/>
        <v>0</v>
      </c>
      <c r="U44" s="417">
        <f t="shared" si="36"/>
        <v>0</v>
      </c>
      <c r="V44" s="417">
        <f t="shared" si="36"/>
        <v>0</v>
      </c>
      <c r="W44" s="417">
        <f t="shared" si="36"/>
        <v>0</v>
      </c>
      <c r="X44" s="417">
        <f t="shared" si="36"/>
        <v>0</v>
      </c>
      <c r="Y44" s="417">
        <f t="shared" si="36"/>
        <v>0</v>
      </c>
      <c r="Z44" s="417">
        <f t="shared" si="36"/>
        <v>0</v>
      </c>
      <c r="AA44" s="417">
        <f t="shared" si="36"/>
        <v>0</v>
      </c>
      <c r="AB44" s="417">
        <f t="shared" si="36"/>
        <v>0</v>
      </c>
      <c r="AC44" s="417">
        <f t="shared" si="36"/>
        <v>0</v>
      </c>
      <c r="AD44" s="417">
        <f t="shared" si="36"/>
        <v>0</v>
      </c>
      <c r="AE44" s="417">
        <f t="shared" si="36"/>
        <v>0</v>
      </c>
      <c r="AF44" s="417">
        <f t="shared" si="36"/>
        <v>0</v>
      </c>
      <c r="AG44" s="417">
        <f t="shared" si="36"/>
        <v>0</v>
      </c>
      <c r="AH44" s="418">
        <f t="shared" si="33"/>
        <v>0</v>
      </c>
      <c r="AJ44" s="76"/>
      <c r="AK44" s="62"/>
    </row>
    <row r="45" spans="2:37" ht="15" thickBot="1" x14ac:dyDescent="0.35">
      <c r="B45" s="15"/>
      <c r="C45" s="127">
        <f t="shared" si="31"/>
        <v>4</v>
      </c>
      <c r="D45" s="422">
        <f>V13</f>
        <v>0</v>
      </c>
      <c r="E45" s="423"/>
      <c r="F45" s="423"/>
      <c r="G45" s="422">
        <f t="shared" si="34"/>
        <v>0</v>
      </c>
      <c r="H45" s="424"/>
      <c r="I45" s="417">
        <f t="shared" ref="I45:AG45" si="37">IF($H13&gt;=25,$G45,IF(I$41&lt;=$H13,$G45,IF(I$41&lt;=($H13*($AD13+1)),$G45,0)))</f>
        <v>0</v>
      </c>
      <c r="J45" s="417">
        <f t="shared" si="37"/>
        <v>0</v>
      </c>
      <c r="K45" s="417">
        <f t="shared" si="37"/>
        <v>0</v>
      </c>
      <c r="L45" s="417">
        <f t="shared" si="37"/>
        <v>0</v>
      </c>
      <c r="M45" s="417">
        <f t="shared" si="37"/>
        <v>0</v>
      </c>
      <c r="N45" s="417">
        <f t="shared" si="37"/>
        <v>0</v>
      </c>
      <c r="O45" s="417">
        <f t="shared" si="37"/>
        <v>0</v>
      </c>
      <c r="P45" s="417">
        <f t="shared" si="37"/>
        <v>0</v>
      </c>
      <c r="Q45" s="417">
        <f t="shared" si="37"/>
        <v>0</v>
      </c>
      <c r="R45" s="417">
        <f t="shared" si="37"/>
        <v>0</v>
      </c>
      <c r="S45" s="417">
        <f t="shared" si="37"/>
        <v>0</v>
      </c>
      <c r="T45" s="417">
        <f t="shared" si="37"/>
        <v>0</v>
      </c>
      <c r="U45" s="417">
        <f t="shared" si="37"/>
        <v>0</v>
      </c>
      <c r="V45" s="417">
        <f t="shared" si="37"/>
        <v>0</v>
      </c>
      <c r="W45" s="417">
        <f t="shared" si="37"/>
        <v>0</v>
      </c>
      <c r="X45" s="417">
        <f t="shared" si="37"/>
        <v>0</v>
      </c>
      <c r="Y45" s="417">
        <f t="shared" si="37"/>
        <v>0</v>
      </c>
      <c r="Z45" s="417">
        <f t="shared" si="37"/>
        <v>0</v>
      </c>
      <c r="AA45" s="417">
        <f t="shared" si="37"/>
        <v>0</v>
      </c>
      <c r="AB45" s="417">
        <f t="shared" si="37"/>
        <v>0</v>
      </c>
      <c r="AC45" s="417">
        <f t="shared" si="37"/>
        <v>0</v>
      </c>
      <c r="AD45" s="417">
        <f t="shared" si="37"/>
        <v>0</v>
      </c>
      <c r="AE45" s="417">
        <f t="shared" si="37"/>
        <v>0</v>
      </c>
      <c r="AF45" s="417">
        <f t="shared" si="37"/>
        <v>0</v>
      </c>
      <c r="AG45" s="417">
        <f t="shared" si="37"/>
        <v>0</v>
      </c>
      <c r="AH45" s="418">
        <f t="shared" si="33"/>
        <v>0</v>
      </c>
      <c r="AJ45" s="76"/>
      <c r="AK45" s="62"/>
    </row>
    <row r="46" spans="2:37" ht="15" thickBot="1" x14ac:dyDescent="0.35">
      <c r="B46" s="15"/>
      <c r="C46" s="129">
        <f t="shared" si="31"/>
        <v>5</v>
      </c>
      <c r="D46" s="422">
        <f>V14</f>
        <v>0</v>
      </c>
      <c r="E46" s="423"/>
      <c r="F46" s="423"/>
      <c r="G46" s="422">
        <f t="shared" si="34"/>
        <v>0</v>
      </c>
      <c r="H46" s="424"/>
      <c r="I46" s="417">
        <f t="shared" ref="I46:AG46" si="38">IF($H14&gt;=25,$G46,IF(I$41&lt;=$H14,$G46,IF(I$41&lt;=($H14*($AD14+1)),$G46,0)))</f>
        <v>0</v>
      </c>
      <c r="J46" s="417">
        <f t="shared" si="38"/>
        <v>0</v>
      </c>
      <c r="K46" s="417">
        <f t="shared" si="38"/>
        <v>0</v>
      </c>
      <c r="L46" s="417">
        <f t="shared" si="38"/>
        <v>0</v>
      </c>
      <c r="M46" s="417">
        <f t="shared" si="38"/>
        <v>0</v>
      </c>
      <c r="N46" s="417">
        <f t="shared" si="38"/>
        <v>0</v>
      </c>
      <c r="O46" s="417">
        <f t="shared" si="38"/>
        <v>0</v>
      </c>
      <c r="P46" s="417">
        <f t="shared" si="38"/>
        <v>0</v>
      </c>
      <c r="Q46" s="417">
        <f t="shared" si="38"/>
        <v>0</v>
      </c>
      <c r="R46" s="417">
        <f t="shared" si="38"/>
        <v>0</v>
      </c>
      <c r="S46" s="417">
        <f t="shared" si="38"/>
        <v>0</v>
      </c>
      <c r="T46" s="417">
        <f t="shared" si="38"/>
        <v>0</v>
      </c>
      <c r="U46" s="417">
        <f t="shared" si="38"/>
        <v>0</v>
      </c>
      <c r="V46" s="417">
        <f t="shared" si="38"/>
        <v>0</v>
      </c>
      <c r="W46" s="417">
        <f t="shared" si="38"/>
        <v>0</v>
      </c>
      <c r="X46" s="417">
        <f t="shared" si="38"/>
        <v>0</v>
      </c>
      <c r="Y46" s="417">
        <f t="shared" si="38"/>
        <v>0</v>
      </c>
      <c r="Z46" s="417">
        <f t="shared" si="38"/>
        <v>0</v>
      </c>
      <c r="AA46" s="417">
        <f t="shared" si="38"/>
        <v>0</v>
      </c>
      <c r="AB46" s="417">
        <f t="shared" si="38"/>
        <v>0</v>
      </c>
      <c r="AC46" s="417">
        <f t="shared" si="38"/>
        <v>0</v>
      </c>
      <c r="AD46" s="417">
        <f t="shared" si="38"/>
        <v>0</v>
      </c>
      <c r="AE46" s="417">
        <f t="shared" si="38"/>
        <v>0</v>
      </c>
      <c r="AF46" s="417">
        <f t="shared" si="38"/>
        <v>0</v>
      </c>
      <c r="AG46" s="417">
        <f t="shared" si="38"/>
        <v>0</v>
      </c>
      <c r="AH46" s="418">
        <f t="shared" si="33"/>
        <v>0</v>
      </c>
      <c r="AJ46" s="76"/>
      <c r="AK46" s="62"/>
    </row>
    <row r="47" spans="2:37" ht="15" thickBot="1" x14ac:dyDescent="0.35">
      <c r="B47" s="15"/>
      <c r="C47" s="129">
        <f t="shared" si="31"/>
        <v>6</v>
      </c>
      <c r="D47" s="422">
        <f>V16</f>
        <v>0</v>
      </c>
      <c r="E47" s="425"/>
      <c r="F47" s="425"/>
      <c r="G47" s="422">
        <f t="shared" si="34"/>
        <v>0</v>
      </c>
      <c r="H47" s="426"/>
      <c r="I47" s="417">
        <f t="shared" ref="I47:AG47" si="39">IF($H16&gt;=25,$G47,IF(I$41&lt;=$H16,$G47,IF(I$41&lt;=($H16*($AD16+1)),$G47,0)))</f>
        <v>0</v>
      </c>
      <c r="J47" s="417">
        <f t="shared" si="39"/>
        <v>0</v>
      </c>
      <c r="K47" s="417">
        <f t="shared" si="39"/>
        <v>0</v>
      </c>
      <c r="L47" s="417">
        <f t="shared" si="39"/>
        <v>0</v>
      </c>
      <c r="M47" s="417">
        <f t="shared" si="39"/>
        <v>0</v>
      </c>
      <c r="N47" s="417">
        <f t="shared" si="39"/>
        <v>0</v>
      </c>
      <c r="O47" s="417">
        <f t="shared" si="39"/>
        <v>0</v>
      </c>
      <c r="P47" s="417">
        <f t="shared" si="39"/>
        <v>0</v>
      </c>
      <c r="Q47" s="417">
        <f t="shared" si="39"/>
        <v>0</v>
      </c>
      <c r="R47" s="417">
        <f t="shared" si="39"/>
        <v>0</v>
      </c>
      <c r="S47" s="417">
        <f t="shared" si="39"/>
        <v>0</v>
      </c>
      <c r="T47" s="417">
        <f t="shared" si="39"/>
        <v>0</v>
      </c>
      <c r="U47" s="417">
        <f t="shared" si="39"/>
        <v>0</v>
      </c>
      <c r="V47" s="417">
        <f t="shared" si="39"/>
        <v>0</v>
      </c>
      <c r="W47" s="417">
        <f t="shared" si="39"/>
        <v>0</v>
      </c>
      <c r="X47" s="417">
        <f t="shared" si="39"/>
        <v>0</v>
      </c>
      <c r="Y47" s="417">
        <f t="shared" si="39"/>
        <v>0</v>
      </c>
      <c r="Z47" s="417">
        <f t="shared" si="39"/>
        <v>0</v>
      </c>
      <c r="AA47" s="417">
        <f t="shared" si="39"/>
        <v>0</v>
      </c>
      <c r="AB47" s="417">
        <f t="shared" si="39"/>
        <v>0</v>
      </c>
      <c r="AC47" s="417">
        <f t="shared" si="39"/>
        <v>0</v>
      </c>
      <c r="AD47" s="417">
        <f t="shared" si="39"/>
        <v>0</v>
      </c>
      <c r="AE47" s="417">
        <f t="shared" si="39"/>
        <v>0</v>
      </c>
      <c r="AF47" s="417">
        <f t="shared" si="39"/>
        <v>0</v>
      </c>
      <c r="AG47" s="417">
        <f t="shared" si="39"/>
        <v>0</v>
      </c>
      <c r="AH47" s="418">
        <f t="shared" si="33"/>
        <v>0</v>
      </c>
      <c r="AJ47" s="76"/>
      <c r="AK47" s="62"/>
    </row>
    <row r="48" spans="2:37" ht="15" thickBot="1" x14ac:dyDescent="0.35">
      <c r="B48" s="15"/>
      <c r="C48" s="129">
        <f t="shared" si="31"/>
        <v>7</v>
      </c>
      <c r="D48" s="422">
        <f>V17</f>
        <v>0</v>
      </c>
      <c r="E48" s="425"/>
      <c r="F48" s="425"/>
      <c r="G48" s="422">
        <f t="shared" si="34"/>
        <v>0</v>
      </c>
      <c r="H48" s="426"/>
      <c r="I48" s="417">
        <f t="shared" ref="I48:AG48" si="40">IF($H17&gt;=25,$G48,IF(I$41&lt;=$H17,$G48,IF(I$41&lt;=($H17*($AD17+1)),$G48,0)))</f>
        <v>0</v>
      </c>
      <c r="J48" s="417">
        <f t="shared" si="40"/>
        <v>0</v>
      </c>
      <c r="K48" s="417">
        <f t="shared" si="40"/>
        <v>0</v>
      </c>
      <c r="L48" s="417">
        <f t="shared" si="40"/>
        <v>0</v>
      </c>
      <c r="M48" s="417">
        <f t="shared" si="40"/>
        <v>0</v>
      </c>
      <c r="N48" s="417">
        <f t="shared" si="40"/>
        <v>0</v>
      </c>
      <c r="O48" s="417">
        <f t="shared" si="40"/>
        <v>0</v>
      </c>
      <c r="P48" s="417">
        <f t="shared" si="40"/>
        <v>0</v>
      </c>
      <c r="Q48" s="417">
        <f t="shared" si="40"/>
        <v>0</v>
      </c>
      <c r="R48" s="417">
        <f t="shared" si="40"/>
        <v>0</v>
      </c>
      <c r="S48" s="417">
        <f t="shared" si="40"/>
        <v>0</v>
      </c>
      <c r="T48" s="417">
        <f t="shared" si="40"/>
        <v>0</v>
      </c>
      <c r="U48" s="417">
        <f t="shared" si="40"/>
        <v>0</v>
      </c>
      <c r="V48" s="417">
        <f t="shared" si="40"/>
        <v>0</v>
      </c>
      <c r="W48" s="417">
        <f t="shared" si="40"/>
        <v>0</v>
      </c>
      <c r="X48" s="417">
        <f t="shared" si="40"/>
        <v>0</v>
      </c>
      <c r="Y48" s="417">
        <f t="shared" si="40"/>
        <v>0</v>
      </c>
      <c r="Z48" s="417">
        <f t="shared" si="40"/>
        <v>0</v>
      </c>
      <c r="AA48" s="417">
        <f t="shared" si="40"/>
        <v>0</v>
      </c>
      <c r="AB48" s="417">
        <f t="shared" si="40"/>
        <v>0</v>
      </c>
      <c r="AC48" s="417">
        <f t="shared" si="40"/>
        <v>0</v>
      </c>
      <c r="AD48" s="417">
        <f t="shared" si="40"/>
        <v>0</v>
      </c>
      <c r="AE48" s="417">
        <f t="shared" si="40"/>
        <v>0</v>
      </c>
      <c r="AF48" s="417">
        <f t="shared" si="40"/>
        <v>0</v>
      </c>
      <c r="AG48" s="417">
        <f t="shared" si="40"/>
        <v>0</v>
      </c>
      <c r="AH48" s="418">
        <f t="shared" si="33"/>
        <v>0</v>
      </c>
      <c r="AJ48" s="76"/>
      <c r="AK48" s="62"/>
    </row>
    <row r="49" spans="2:37" ht="15" thickBot="1" x14ac:dyDescent="0.35">
      <c r="B49" s="15"/>
      <c r="C49" s="129">
        <f t="shared" si="31"/>
        <v>8</v>
      </c>
      <c r="D49" s="422">
        <f>V18</f>
        <v>0</v>
      </c>
      <c r="E49" s="425"/>
      <c r="F49" s="425"/>
      <c r="G49" s="422">
        <f t="shared" si="34"/>
        <v>0</v>
      </c>
      <c r="H49" s="426"/>
      <c r="I49" s="417">
        <f t="shared" ref="I49:AG49" si="41">IF($H18&gt;=25,$G49,IF(I$41&lt;=$H18,$G49,IF(I$41&lt;=($H18*($AD18+1)),$G49,0)))</f>
        <v>0</v>
      </c>
      <c r="J49" s="417">
        <f t="shared" si="41"/>
        <v>0</v>
      </c>
      <c r="K49" s="417">
        <f t="shared" si="41"/>
        <v>0</v>
      </c>
      <c r="L49" s="417">
        <f t="shared" si="41"/>
        <v>0</v>
      </c>
      <c r="M49" s="417">
        <f t="shared" si="41"/>
        <v>0</v>
      </c>
      <c r="N49" s="417">
        <f t="shared" si="41"/>
        <v>0</v>
      </c>
      <c r="O49" s="417">
        <f t="shared" si="41"/>
        <v>0</v>
      </c>
      <c r="P49" s="417">
        <f t="shared" si="41"/>
        <v>0</v>
      </c>
      <c r="Q49" s="417">
        <f t="shared" si="41"/>
        <v>0</v>
      </c>
      <c r="R49" s="417">
        <f t="shared" si="41"/>
        <v>0</v>
      </c>
      <c r="S49" s="417">
        <f t="shared" si="41"/>
        <v>0</v>
      </c>
      <c r="T49" s="417">
        <f t="shared" si="41"/>
        <v>0</v>
      </c>
      <c r="U49" s="417">
        <f t="shared" si="41"/>
        <v>0</v>
      </c>
      <c r="V49" s="417">
        <f t="shared" si="41"/>
        <v>0</v>
      </c>
      <c r="W49" s="417">
        <f t="shared" si="41"/>
        <v>0</v>
      </c>
      <c r="X49" s="417">
        <f t="shared" si="41"/>
        <v>0</v>
      </c>
      <c r="Y49" s="417">
        <f t="shared" si="41"/>
        <v>0</v>
      </c>
      <c r="Z49" s="417">
        <f t="shared" si="41"/>
        <v>0</v>
      </c>
      <c r="AA49" s="417">
        <f t="shared" si="41"/>
        <v>0</v>
      </c>
      <c r="AB49" s="417">
        <f t="shared" si="41"/>
        <v>0</v>
      </c>
      <c r="AC49" s="417">
        <f t="shared" si="41"/>
        <v>0</v>
      </c>
      <c r="AD49" s="417">
        <f t="shared" si="41"/>
        <v>0</v>
      </c>
      <c r="AE49" s="417">
        <f t="shared" si="41"/>
        <v>0</v>
      </c>
      <c r="AF49" s="417">
        <f t="shared" si="41"/>
        <v>0</v>
      </c>
      <c r="AG49" s="417">
        <f t="shared" si="41"/>
        <v>0</v>
      </c>
      <c r="AH49" s="418">
        <f t="shared" si="33"/>
        <v>0</v>
      </c>
      <c r="AK49" s="12"/>
    </row>
    <row r="50" spans="2:37" ht="15" thickBot="1" x14ac:dyDescent="0.35">
      <c r="B50" s="15"/>
      <c r="C50" s="129">
        <f t="shared" si="31"/>
        <v>9</v>
      </c>
      <c r="D50" s="422">
        <f>V19</f>
        <v>0</v>
      </c>
      <c r="E50" s="425"/>
      <c r="F50" s="425"/>
      <c r="G50" s="422">
        <f t="shared" si="34"/>
        <v>0</v>
      </c>
      <c r="H50" s="426"/>
      <c r="I50" s="417">
        <f t="shared" ref="I50:AG50" si="42">IF($H19&gt;=25,$G50,IF(I$41&lt;=$H19,$G50,IF(I$41&lt;=($H19*($AD19+1)),$G50,0)))</f>
        <v>0</v>
      </c>
      <c r="J50" s="417">
        <f t="shared" si="42"/>
        <v>0</v>
      </c>
      <c r="K50" s="417">
        <f t="shared" si="42"/>
        <v>0</v>
      </c>
      <c r="L50" s="417">
        <f t="shared" si="42"/>
        <v>0</v>
      </c>
      <c r="M50" s="417">
        <f t="shared" si="42"/>
        <v>0</v>
      </c>
      <c r="N50" s="417">
        <f t="shared" si="42"/>
        <v>0</v>
      </c>
      <c r="O50" s="417">
        <f t="shared" si="42"/>
        <v>0</v>
      </c>
      <c r="P50" s="417">
        <f t="shared" si="42"/>
        <v>0</v>
      </c>
      <c r="Q50" s="417">
        <f t="shared" si="42"/>
        <v>0</v>
      </c>
      <c r="R50" s="417">
        <f t="shared" si="42"/>
        <v>0</v>
      </c>
      <c r="S50" s="417">
        <f t="shared" si="42"/>
        <v>0</v>
      </c>
      <c r="T50" s="417">
        <f t="shared" si="42"/>
        <v>0</v>
      </c>
      <c r="U50" s="417">
        <f t="shared" si="42"/>
        <v>0</v>
      </c>
      <c r="V50" s="417">
        <f t="shared" si="42"/>
        <v>0</v>
      </c>
      <c r="W50" s="417">
        <f t="shared" si="42"/>
        <v>0</v>
      </c>
      <c r="X50" s="417">
        <f t="shared" si="42"/>
        <v>0</v>
      </c>
      <c r="Y50" s="417">
        <f t="shared" si="42"/>
        <v>0</v>
      </c>
      <c r="Z50" s="417">
        <f t="shared" si="42"/>
        <v>0</v>
      </c>
      <c r="AA50" s="417">
        <f t="shared" si="42"/>
        <v>0</v>
      </c>
      <c r="AB50" s="417">
        <f t="shared" si="42"/>
        <v>0</v>
      </c>
      <c r="AC50" s="417">
        <f t="shared" si="42"/>
        <v>0</v>
      </c>
      <c r="AD50" s="417">
        <f t="shared" si="42"/>
        <v>0</v>
      </c>
      <c r="AE50" s="417">
        <f t="shared" si="42"/>
        <v>0</v>
      </c>
      <c r="AF50" s="417">
        <f t="shared" si="42"/>
        <v>0</v>
      </c>
      <c r="AG50" s="417">
        <f t="shared" si="42"/>
        <v>0</v>
      </c>
      <c r="AH50" s="418">
        <f t="shared" si="33"/>
        <v>0</v>
      </c>
      <c r="AK50" s="12"/>
    </row>
    <row r="51" spans="2:37" ht="15.75" customHeight="1" thickBot="1" x14ac:dyDescent="0.35">
      <c r="B51" s="15"/>
      <c r="C51" s="129">
        <f t="shared" si="31"/>
        <v>10</v>
      </c>
      <c r="D51" s="422">
        <f>V20</f>
        <v>0</v>
      </c>
      <c r="E51" s="425"/>
      <c r="F51" s="425"/>
      <c r="G51" s="422">
        <f t="shared" si="34"/>
        <v>0</v>
      </c>
      <c r="H51" s="426"/>
      <c r="I51" s="417">
        <f t="shared" ref="I51:AG51" si="43">IF($H20&gt;=25,$G51,IF(I$41&lt;=$H20,$G51,IF(I$41&lt;=($H20*($AD20+1)),$G51,0)))</f>
        <v>0</v>
      </c>
      <c r="J51" s="417">
        <f t="shared" si="43"/>
        <v>0</v>
      </c>
      <c r="K51" s="417">
        <f t="shared" si="43"/>
        <v>0</v>
      </c>
      <c r="L51" s="417">
        <f t="shared" si="43"/>
        <v>0</v>
      </c>
      <c r="M51" s="417">
        <f t="shared" si="43"/>
        <v>0</v>
      </c>
      <c r="N51" s="417">
        <f t="shared" si="43"/>
        <v>0</v>
      </c>
      <c r="O51" s="417">
        <f t="shared" si="43"/>
        <v>0</v>
      </c>
      <c r="P51" s="417">
        <f t="shared" si="43"/>
        <v>0</v>
      </c>
      <c r="Q51" s="417">
        <f t="shared" si="43"/>
        <v>0</v>
      </c>
      <c r="R51" s="417">
        <f t="shared" si="43"/>
        <v>0</v>
      </c>
      <c r="S51" s="417">
        <f t="shared" si="43"/>
        <v>0</v>
      </c>
      <c r="T51" s="417">
        <f t="shared" si="43"/>
        <v>0</v>
      </c>
      <c r="U51" s="417">
        <f t="shared" si="43"/>
        <v>0</v>
      </c>
      <c r="V51" s="417">
        <f t="shared" si="43"/>
        <v>0</v>
      </c>
      <c r="W51" s="417">
        <f t="shared" si="43"/>
        <v>0</v>
      </c>
      <c r="X51" s="417">
        <f t="shared" si="43"/>
        <v>0</v>
      </c>
      <c r="Y51" s="417">
        <f t="shared" si="43"/>
        <v>0</v>
      </c>
      <c r="Z51" s="417">
        <f t="shared" si="43"/>
        <v>0</v>
      </c>
      <c r="AA51" s="417">
        <f t="shared" si="43"/>
        <v>0</v>
      </c>
      <c r="AB51" s="417">
        <f t="shared" si="43"/>
        <v>0</v>
      </c>
      <c r="AC51" s="417">
        <f t="shared" si="43"/>
        <v>0</v>
      </c>
      <c r="AD51" s="417">
        <f t="shared" si="43"/>
        <v>0</v>
      </c>
      <c r="AE51" s="417">
        <f t="shared" si="43"/>
        <v>0</v>
      </c>
      <c r="AF51" s="417">
        <f t="shared" si="43"/>
        <v>0</v>
      </c>
      <c r="AG51" s="417">
        <f t="shared" si="43"/>
        <v>0</v>
      </c>
      <c r="AH51" s="419">
        <f>SUM(O51:AG51)</f>
        <v>0</v>
      </c>
      <c r="AK51" s="12"/>
    </row>
    <row r="52" spans="2:37" ht="15" thickBot="1" x14ac:dyDescent="0.35">
      <c r="B52" s="15"/>
      <c r="C52" s="131"/>
      <c r="D52" s="423"/>
      <c r="E52" s="423"/>
      <c r="F52" s="423"/>
      <c r="G52" s="424"/>
      <c r="H52" s="427" t="s">
        <v>54</v>
      </c>
      <c r="I52" s="420">
        <f t="shared" ref="I52:AG52" si="44">SUM(I42:I51)</f>
        <v>0</v>
      </c>
      <c r="J52" s="420">
        <f t="shared" si="44"/>
        <v>0</v>
      </c>
      <c r="K52" s="420">
        <f t="shared" si="44"/>
        <v>0</v>
      </c>
      <c r="L52" s="420">
        <f t="shared" si="44"/>
        <v>0</v>
      </c>
      <c r="M52" s="420">
        <f t="shared" si="44"/>
        <v>0</v>
      </c>
      <c r="N52" s="420">
        <f t="shared" si="44"/>
        <v>0</v>
      </c>
      <c r="O52" s="420">
        <f t="shared" si="44"/>
        <v>0</v>
      </c>
      <c r="P52" s="420">
        <f t="shared" si="44"/>
        <v>0</v>
      </c>
      <c r="Q52" s="420">
        <f t="shared" si="44"/>
        <v>0</v>
      </c>
      <c r="R52" s="420">
        <f t="shared" si="44"/>
        <v>0</v>
      </c>
      <c r="S52" s="420">
        <f t="shared" si="44"/>
        <v>0</v>
      </c>
      <c r="T52" s="420">
        <f t="shared" si="44"/>
        <v>0</v>
      </c>
      <c r="U52" s="420">
        <f t="shared" si="44"/>
        <v>0</v>
      </c>
      <c r="V52" s="420">
        <f t="shared" si="44"/>
        <v>0</v>
      </c>
      <c r="W52" s="420">
        <f t="shared" si="44"/>
        <v>0</v>
      </c>
      <c r="X52" s="420">
        <f t="shared" si="44"/>
        <v>0</v>
      </c>
      <c r="Y52" s="420">
        <f t="shared" si="44"/>
        <v>0</v>
      </c>
      <c r="Z52" s="420">
        <f t="shared" si="44"/>
        <v>0</v>
      </c>
      <c r="AA52" s="420">
        <f t="shared" si="44"/>
        <v>0</v>
      </c>
      <c r="AB52" s="420">
        <f t="shared" si="44"/>
        <v>0</v>
      </c>
      <c r="AC52" s="420">
        <f t="shared" si="44"/>
        <v>0</v>
      </c>
      <c r="AD52" s="420">
        <f t="shared" si="44"/>
        <v>0</v>
      </c>
      <c r="AE52" s="420">
        <f t="shared" si="44"/>
        <v>0</v>
      </c>
      <c r="AF52" s="420">
        <f t="shared" si="44"/>
        <v>0</v>
      </c>
      <c r="AG52" s="420">
        <f t="shared" si="44"/>
        <v>0</v>
      </c>
      <c r="AH52" s="421">
        <f>SUM(AH42:AH51)</f>
        <v>0</v>
      </c>
      <c r="AK52" s="12"/>
    </row>
    <row r="53" spans="2:37" ht="24.75" customHeight="1" thickBot="1" x14ac:dyDescent="0.35">
      <c r="B53" s="15"/>
      <c r="C53" s="133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5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7"/>
      <c r="AJ53" s="76"/>
      <c r="AK53" s="12"/>
    </row>
    <row r="54" spans="2:37" ht="24.75" customHeight="1" x14ac:dyDescent="0.3">
      <c r="B54" s="15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J54" s="76"/>
      <c r="AK54" s="12"/>
    </row>
    <row r="55" spans="2:37" x14ac:dyDescent="0.3">
      <c r="B55" s="15"/>
      <c r="C55" s="2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J55" s="76"/>
      <c r="AK55" s="12"/>
    </row>
    <row r="56" spans="2:37" x14ac:dyDescent="0.3">
      <c r="B56" s="15"/>
      <c r="C56" s="2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J56" s="76"/>
      <c r="AK56" s="12"/>
    </row>
    <row r="57" spans="2:37" ht="15" thickBot="1" x14ac:dyDescent="0.35">
      <c r="B57" s="139"/>
      <c r="C57" s="14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30"/>
    </row>
    <row r="58" spans="2:37" x14ac:dyDescent="0.3">
      <c r="AC58" s="3"/>
      <c r="AD58" s="3"/>
      <c r="AJ58" s="76"/>
    </row>
    <row r="59" spans="2:37" x14ac:dyDescent="0.3">
      <c r="AC59" s="3"/>
      <c r="AD59" s="3"/>
      <c r="AJ59" s="76"/>
    </row>
    <row r="60" spans="2:37" x14ac:dyDescent="0.3">
      <c r="AJ60" s="76"/>
    </row>
    <row r="61" spans="2:37" x14ac:dyDescent="0.3">
      <c r="AJ61" s="76"/>
    </row>
    <row r="62" spans="2:37" x14ac:dyDescent="0.3">
      <c r="AJ62" s="76"/>
    </row>
    <row r="63" spans="2:37" x14ac:dyDescent="0.3">
      <c r="AJ63" s="76"/>
    </row>
    <row r="64" spans="2:37" x14ac:dyDescent="0.3">
      <c r="AJ64" s="76"/>
    </row>
    <row r="65" spans="36:36" s="3" customFormat="1" x14ac:dyDescent="0.3">
      <c r="AJ65" s="76"/>
    </row>
    <row r="66" spans="36:36" s="3" customFormat="1" x14ac:dyDescent="0.3">
      <c r="AJ66" s="76"/>
    </row>
    <row r="67" spans="36:36" s="3" customFormat="1" x14ac:dyDescent="0.3">
      <c r="AJ67" s="76"/>
    </row>
    <row r="68" spans="36:36" s="3" customFormat="1" x14ac:dyDescent="0.3">
      <c r="AJ68" s="76"/>
    </row>
    <row r="69" spans="36:36" s="3" customFormat="1" x14ac:dyDescent="0.3">
      <c r="AJ69" s="76"/>
    </row>
    <row r="70" spans="36:36" s="3" customFormat="1" x14ac:dyDescent="0.3">
      <c r="AJ70" s="76"/>
    </row>
    <row r="71" spans="36:36" s="3" customFormat="1" x14ac:dyDescent="0.3">
      <c r="AJ71" s="76"/>
    </row>
    <row r="72" spans="36:36" s="3" customFormat="1" x14ac:dyDescent="0.3">
      <c r="AJ72" s="76"/>
    </row>
    <row r="73" spans="36:36" s="3" customFormat="1" x14ac:dyDescent="0.3">
      <c r="AJ73" s="76"/>
    </row>
    <row r="74" spans="36:36" s="3" customFormat="1" x14ac:dyDescent="0.3">
      <c r="AJ74" s="76"/>
    </row>
    <row r="75" spans="36:36" s="3" customFormat="1" x14ac:dyDescent="0.3">
      <c r="AJ75" s="76"/>
    </row>
    <row r="76" spans="36:36" s="3" customFormat="1" x14ac:dyDescent="0.3">
      <c r="AJ76" s="76"/>
    </row>
    <row r="77" spans="36:36" s="3" customFormat="1" x14ac:dyDescent="0.3">
      <c r="AJ77" s="76"/>
    </row>
    <row r="78" spans="36:36" s="3" customFormat="1" x14ac:dyDescent="0.3">
      <c r="AJ78" s="76"/>
    </row>
    <row r="79" spans="36:36" s="3" customFormat="1" x14ac:dyDescent="0.3">
      <c r="AJ79" s="76"/>
    </row>
    <row r="80" spans="36:36" s="3" customFormat="1" x14ac:dyDescent="0.3">
      <c r="AJ80" s="76"/>
    </row>
    <row r="81" spans="36:36" s="3" customFormat="1" x14ac:dyDescent="0.3">
      <c r="AJ81" s="76"/>
    </row>
    <row r="82" spans="36:36" s="3" customFormat="1" x14ac:dyDescent="0.3">
      <c r="AJ82" s="76"/>
    </row>
    <row r="83" spans="36:36" s="3" customFormat="1" x14ac:dyDescent="0.3">
      <c r="AJ83" s="76"/>
    </row>
    <row r="84" spans="36:36" s="3" customFormat="1" x14ac:dyDescent="0.3">
      <c r="AJ84" s="76"/>
    </row>
    <row r="85" spans="36:36" s="3" customFormat="1" x14ac:dyDescent="0.3">
      <c r="AJ85" s="76"/>
    </row>
    <row r="86" spans="36:36" s="3" customFormat="1" x14ac:dyDescent="0.3">
      <c r="AJ86" s="76"/>
    </row>
    <row r="87" spans="36:36" s="3" customFormat="1" x14ac:dyDescent="0.3">
      <c r="AJ87" s="76"/>
    </row>
    <row r="88" spans="36:36" s="3" customFormat="1" x14ac:dyDescent="0.3">
      <c r="AJ88" s="76"/>
    </row>
    <row r="89" spans="36:36" s="3" customFormat="1" x14ac:dyDescent="0.3">
      <c r="AJ89" s="76"/>
    </row>
    <row r="90" spans="36:36" s="3" customFormat="1" x14ac:dyDescent="0.3">
      <c r="AJ90" s="76"/>
    </row>
    <row r="91" spans="36:36" s="3" customFormat="1" x14ac:dyDescent="0.3">
      <c r="AJ91" s="76"/>
    </row>
    <row r="93" spans="36:36" s="3" customFormat="1" x14ac:dyDescent="0.3">
      <c r="AJ93" s="76"/>
    </row>
    <row r="95" spans="36:36" s="3" customFormat="1" x14ac:dyDescent="0.3">
      <c r="AJ95" s="76"/>
    </row>
    <row r="97" spans="36:36" s="3" customFormat="1" x14ac:dyDescent="0.3">
      <c r="AJ97" s="76"/>
    </row>
    <row r="99" spans="36:36" s="3" customFormat="1" x14ac:dyDescent="0.3">
      <c r="AJ99" s="76"/>
    </row>
    <row r="101" spans="36:36" s="3" customFormat="1" x14ac:dyDescent="0.3">
      <c r="AJ101" s="76"/>
    </row>
    <row r="103" spans="36:36" s="3" customFormat="1" x14ac:dyDescent="0.3">
      <c r="AJ103" s="76"/>
    </row>
    <row r="105" spans="36:36" s="3" customFormat="1" x14ac:dyDescent="0.3">
      <c r="AJ105" s="76"/>
    </row>
    <row r="106" spans="36:36" s="3" customFormat="1" x14ac:dyDescent="0.3">
      <c r="AJ106" s="3">
        <v>76</v>
      </c>
    </row>
    <row r="107" spans="36:36" s="3" customFormat="1" x14ac:dyDescent="0.3">
      <c r="AJ107" s="76">
        <v>77</v>
      </c>
    </row>
    <row r="108" spans="36:36" s="3" customFormat="1" x14ac:dyDescent="0.3">
      <c r="AJ108" s="3">
        <v>78</v>
      </c>
    </row>
  </sheetData>
  <sheetProtection algorithmName="SHA-512" hashValue="belbKCofbPp+RwJqAYWmKAxZyaJb+iRxVrRpolVhi4PPYEIE0X6IPwv7pODPvI/VLC6aT1+BoHyQkeoAFzNhkQ==" saltValue="W80X7FNKQ13ebaS9+OQO4A==" spinCount="100000" sheet="1" objects="1" scenarios="1" insertRows="0" selectLockedCells="1"/>
  <protectedRanges>
    <protectedRange sqref="Q10:U14 AB10:AD14 AB16:AD20 AF10:AG14 AF16:AG20 D10:G14 D16:M20 I10:M14 Q16:U20" name="Folha5"/>
  </protectedRanges>
  <mergeCells count="17">
    <mergeCell ref="G28:H28"/>
    <mergeCell ref="G41:H41"/>
    <mergeCell ref="C23:D23"/>
    <mergeCell ref="I26:AH26"/>
    <mergeCell ref="I27:AG27"/>
    <mergeCell ref="C3:E3"/>
    <mergeCell ref="C4:H4"/>
    <mergeCell ref="C5:E5"/>
    <mergeCell ref="C9:D9"/>
    <mergeCell ref="C15:D15"/>
    <mergeCell ref="C22:D22"/>
    <mergeCell ref="Q6:AE6"/>
    <mergeCell ref="AF6:AJ6"/>
    <mergeCell ref="I7:N7"/>
    <mergeCell ref="Q7:V7"/>
    <mergeCell ref="Y7:Z7"/>
    <mergeCell ref="I6:P6"/>
  </mergeCells>
  <pageMargins left="0.7" right="0.7" top="0.75" bottom="0.75" header="0.3" footer="0.3"/>
  <pageSetup paperSize="9" orientation="portrait" r:id="rId1"/>
  <ignoredErrors>
    <ignoredError sqref="X2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'16. Fatores de conversão'!$M$2:$M$3</xm:f>
          </x14:formula1>
          <xm:sqref>E10:E14 E16:E20</xm:sqref>
        </x14:dataValidation>
        <x14:dataValidation type="list" allowBlank="1" showInputMessage="1" showErrorMessage="1">
          <x14:formula1>
            <xm:f>'15. Valores-Padrão'!$C$30:$C$31</xm:f>
          </x14:formula1>
          <xm:sqref>F10:F14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BB108"/>
  <sheetViews>
    <sheetView showGridLines="0" topLeftCell="Q1" zoomScaleNormal="100" workbookViewId="0">
      <selection activeCell="AB18" sqref="AB18"/>
    </sheetView>
  </sheetViews>
  <sheetFormatPr defaultColWidth="9.109375" defaultRowHeight="14.4" x14ac:dyDescent="0.3"/>
  <cols>
    <col min="1" max="2" width="9.109375" style="3"/>
    <col min="3" max="3" width="11.5546875" style="1" customWidth="1"/>
    <col min="4" max="4" width="37.6640625" style="3" bestFit="1" customWidth="1"/>
    <col min="5" max="5" width="21.6640625" style="3" customWidth="1"/>
    <col min="6" max="6" width="62.33203125" style="3" customWidth="1"/>
    <col min="7" max="8" width="18.109375" style="3" customWidth="1"/>
    <col min="9" max="26" width="13.5546875" style="3" customWidth="1"/>
    <col min="27" max="30" width="13.5546875" style="4" customWidth="1"/>
    <col min="31" max="34" width="13.5546875" style="3" customWidth="1"/>
    <col min="35" max="35" width="12.88671875" style="3" customWidth="1"/>
    <col min="36" max="36" width="9.109375" style="3"/>
    <col min="37" max="37" width="11.88671875" style="3" customWidth="1"/>
    <col min="38" max="40" width="9.109375" style="3"/>
    <col min="41" max="41" width="18.5546875" style="3" customWidth="1"/>
    <col min="42" max="42" width="25.6640625" style="3" customWidth="1"/>
    <col min="43" max="46" width="18.5546875" style="3" customWidth="1"/>
    <col min="47" max="50" width="11.33203125" style="3" customWidth="1"/>
    <col min="51" max="16384" width="9.109375" style="3"/>
  </cols>
  <sheetData>
    <row r="1" spans="2:54" ht="15.75" thickBot="1" x14ac:dyDescent="0.3"/>
    <row r="2" spans="2:54" ht="15" x14ac:dyDescent="0.25">
      <c r="B2" s="55"/>
      <c r="C2" s="5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57"/>
      <c r="AB2" s="57"/>
      <c r="AC2" s="57"/>
      <c r="AD2" s="57"/>
      <c r="AE2" s="7"/>
      <c r="AF2" s="7"/>
      <c r="AG2" s="7"/>
      <c r="AH2" s="7"/>
      <c r="AI2" s="7"/>
      <c r="AJ2" s="7"/>
      <c r="AK2" s="8"/>
    </row>
    <row r="3" spans="2:54" ht="21" x14ac:dyDescent="0.25">
      <c r="B3" s="15"/>
      <c r="C3" s="937" t="s">
        <v>33</v>
      </c>
      <c r="D3" s="937"/>
      <c r="E3" s="937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K3" s="12"/>
    </row>
    <row r="4" spans="2:54" ht="50.25" customHeight="1" x14ac:dyDescent="0.3">
      <c r="B4" s="15"/>
      <c r="C4" s="985" t="s">
        <v>67</v>
      </c>
      <c r="D4" s="985"/>
      <c r="E4" s="985"/>
      <c r="F4" s="985"/>
      <c r="G4" s="985"/>
      <c r="H4" s="98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36"/>
      <c r="AB4" s="36"/>
      <c r="AC4" s="36"/>
      <c r="AD4" s="36"/>
      <c r="AE4" s="11"/>
      <c r="AF4" s="11"/>
      <c r="AG4" s="11"/>
      <c r="AH4" s="11"/>
      <c r="AK4" s="12"/>
    </row>
    <row r="5" spans="2:54" ht="38.25" customHeight="1" thickBot="1" x14ac:dyDescent="0.35">
      <c r="B5" s="15"/>
      <c r="C5" s="986" t="s">
        <v>35</v>
      </c>
      <c r="D5" s="986"/>
      <c r="E5" s="986"/>
      <c r="F5" s="58"/>
      <c r="G5" s="58"/>
      <c r="H5" s="58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K5" s="12"/>
      <c r="AO5" s="11"/>
      <c r="AP5" s="11"/>
      <c r="AQ5" s="11"/>
      <c r="AR5" s="11"/>
      <c r="AS5" s="11"/>
      <c r="AT5" s="11"/>
    </row>
    <row r="6" spans="2:54" s="63" customFormat="1" ht="15" thickBot="1" x14ac:dyDescent="0.35">
      <c r="B6" s="59"/>
      <c r="C6" s="60"/>
      <c r="D6" s="61"/>
      <c r="E6" s="61"/>
      <c r="F6" s="61"/>
      <c r="G6" s="61"/>
      <c r="H6" s="61"/>
      <c r="I6" s="968" t="s">
        <v>12</v>
      </c>
      <c r="J6" s="969"/>
      <c r="K6" s="969"/>
      <c r="L6" s="969"/>
      <c r="M6" s="969"/>
      <c r="N6" s="969"/>
      <c r="O6" s="969"/>
      <c r="P6" s="970"/>
      <c r="Q6" s="968" t="s">
        <v>15</v>
      </c>
      <c r="R6" s="969"/>
      <c r="S6" s="969"/>
      <c r="T6" s="969"/>
      <c r="U6" s="969"/>
      <c r="V6" s="969"/>
      <c r="W6" s="969"/>
      <c r="X6" s="969"/>
      <c r="Y6" s="969"/>
      <c r="Z6" s="969"/>
      <c r="AA6" s="969"/>
      <c r="AB6" s="969"/>
      <c r="AC6" s="969"/>
      <c r="AD6" s="969"/>
      <c r="AE6" s="970"/>
      <c r="AF6" s="968" t="s">
        <v>0</v>
      </c>
      <c r="AG6" s="969"/>
      <c r="AH6" s="969"/>
      <c r="AI6" s="970"/>
      <c r="AK6" s="141"/>
      <c r="AP6" s="61"/>
      <c r="AQ6" s="163"/>
      <c r="AR6" s="163"/>
      <c r="AS6" s="61"/>
      <c r="AT6" s="61"/>
      <c r="AU6" s="61"/>
    </row>
    <row r="7" spans="2:54" s="76" customFormat="1" ht="66" customHeight="1" thickBot="1" x14ac:dyDescent="0.35">
      <c r="B7" s="64"/>
      <c r="C7" s="65"/>
      <c r="D7" s="66"/>
      <c r="E7" s="66"/>
      <c r="F7" s="66"/>
      <c r="G7" s="67" t="s">
        <v>132</v>
      </c>
      <c r="H7" s="164" t="s">
        <v>14</v>
      </c>
      <c r="I7" s="1003" t="s">
        <v>171</v>
      </c>
      <c r="J7" s="1004"/>
      <c r="K7" s="1004"/>
      <c r="L7" s="1004"/>
      <c r="M7" s="1004"/>
      <c r="N7" s="1004"/>
      <c r="O7" s="69" t="s">
        <v>207</v>
      </c>
      <c r="P7" s="797" t="s">
        <v>175</v>
      </c>
      <c r="Q7" s="979" t="s">
        <v>180</v>
      </c>
      <c r="R7" s="980"/>
      <c r="S7" s="980"/>
      <c r="T7" s="980"/>
      <c r="U7" s="980"/>
      <c r="V7" s="980"/>
      <c r="W7" s="797" t="s">
        <v>118</v>
      </c>
      <c r="X7" s="612" t="s">
        <v>2</v>
      </c>
      <c r="Y7" s="981" t="s">
        <v>3</v>
      </c>
      <c r="Z7" s="981"/>
      <c r="AA7" s="612" t="s">
        <v>182</v>
      </c>
      <c r="AB7" s="71" t="s">
        <v>183</v>
      </c>
      <c r="AC7" s="72" t="s">
        <v>119</v>
      </c>
      <c r="AD7" s="73" t="s">
        <v>187</v>
      </c>
      <c r="AE7" s="795" t="s">
        <v>188</v>
      </c>
      <c r="AF7" s="155" t="s">
        <v>194</v>
      </c>
      <c r="AG7" s="831" t="s">
        <v>142</v>
      </c>
      <c r="AH7" s="153" t="s">
        <v>127</v>
      </c>
      <c r="AI7" s="812" t="s">
        <v>1</v>
      </c>
      <c r="AJ7" s="66"/>
      <c r="AK7" s="141"/>
      <c r="AM7" s="66"/>
      <c r="AN7" s="66"/>
      <c r="AO7" s="66"/>
      <c r="AP7" s="66"/>
      <c r="AQ7" s="163"/>
      <c r="AR7" s="163"/>
      <c r="AW7" s="66"/>
      <c r="AX7" s="66"/>
      <c r="AY7" s="66"/>
      <c r="AZ7" s="66"/>
      <c r="BA7" s="66"/>
      <c r="BB7" s="66"/>
    </row>
    <row r="8" spans="2:54" s="76" customFormat="1" ht="63" customHeight="1" x14ac:dyDescent="0.3">
      <c r="B8" s="64"/>
      <c r="C8" s="77" t="s">
        <v>10</v>
      </c>
      <c r="D8" s="78" t="s">
        <v>11</v>
      </c>
      <c r="E8" s="79" t="s">
        <v>238</v>
      </c>
      <c r="F8" s="78" t="s">
        <v>37</v>
      </c>
      <c r="G8" s="80" t="s">
        <v>189</v>
      </c>
      <c r="H8" s="78" t="s">
        <v>131</v>
      </c>
      <c r="I8" s="81" t="str">
        <f>'1. Identificação Ben. Oper.'!D50</f>
        <v>Energia Elétrica</v>
      </c>
      <c r="J8" s="82" t="str">
        <f>IF('1. Identificação Ben. Oper.'!E50="","",'1. Identificação Ben. Oper.'!E50)</f>
        <v>Gás Natural</v>
      </c>
      <c r="K8" s="82" t="str">
        <f>IF('1. Identificação Ben. Oper.'!F50="","",'1. Identificação Ben. Oper.'!F50)</f>
        <v/>
      </c>
      <c r="L8" s="82" t="str">
        <f>IF('1. Identificação Ben. Oper.'!G50="","",'1. Identificação Ben. Oper.'!G50)</f>
        <v/>
      </c>
      <c r="M8" s="82" t="str">
        <f>IF('1. Identificação Ben. Oper.'!H50="","",'1. Identificação Ben. Oper.'!H50)</f>
        <v/>
      </c>
      <c r="N8" s="82" t="s">
        <v>85</v>
      </c>
      <c r="O8" s="82" t="s">
        <v>4</v>
      </c>
      <c r="P8" s="82" t="s">
        <v>5</v>
      </c>
      <c r="Q8" s="81" t="str">
        <f t="shared" ref="Q8:V8" si="0">+I8</f>
        <v>Energia Elétrica</v>
      </c>
      <c r="R8" s="82" t="str">
        <f t="shared" si="0"/>
        <v>Gás Natural</v>
      </c>
      <c r="S8" s="82" t="str">
        <f t="shared" si="0"/>
        <v/>
      </c>
      <c r="T8" s="82" t="str">
        <f t="shared" si="0"/>
        <v/>
      </c>
      <c r="U8" s="82" t="str">
        <f t="shared" si="0"/>
        <v/>
      </c>
      <c r="V8" s="82" t="str">
        <f t="shared" si="0"/>
        <v>Total</v>
      </c>
      <c r="W8" s="82" t="s">
        <v>5</v>
      </c>
      <c r="X8" s="82" t="s">
        <v>6</v>
      </c>
      <c r="Y8" s="82" t="s">
        <v>181</v>
      </c>
      <c r="Z8" s="82" t="s">
        <v>4</v>
      </c>
      <c r="AA8" s="82" t="s">
        <v>7</v>
      </c>
      <c r="AB8" s="80" t="s">
        <v>5</v>
      </c>
      <c r="AC8" s="80" t="s">
        <v>116</v>
      </c>
      <c r="AD8" s="84" t="s">
        <v>186</v>
      </c>
      <c r="AE8" s="747" t="s">
        <v>120</v>
      </c>
      <c r="AF8" s="78" t="s">
        <v>116</v>
      </c>
      <c r="AG8" s="87" t="s">
        <v>116</v>
      </c>
      <c r="AH8" s="82" t="s">
        <v>116</v>
      </c>
      <c r="AI8" s="747" t="s">
        <v>131</v>
      </c>
      <c r="AJ8" s="166"/>
      <c r="AK8" s="141"/>
      <c r="AM8" s="66"/>
      <c r="AN8" s="66"/>
      <c r="AO8" s="66"/>
      <c r="AP8" s="66"/>
      <c r="AQ8" s="163"/>
      <c r="AR8" s="163"/>
      <c r="AW8" s="66"/>
      <c r="AX8" s="37"/>
      <c r="AY8" s="66"/>
      <c r="AZ8" s="66"/>
      <c r="BA8" s="66"/>
      <c r="BB8" s="66"/>
    </row>
    <row r="9" spans="2:54" s="76" customFormat="1" ht="36.75" customHeight="1" x14ac:dyDescent="0.3">
      <c r="B9" s="64"/>
      <c r="C9" s="989" t="s">
        <v>143</v>
      </c>
      <c r="D9" s="990"/>
      <c r="E9" s="990"/>
      <c r="F9" s="990"/>
      <c r="G9" s="88"/>
      <c r="H9" s="88"/>
      <c r="I9" s="89"/>
      <c r="J9" s="88"/>
      <c r="K9" s="88"/>
      <c r="L9" s="88"/>
      <c r="M9" s="88"/>
      <c r="N9" s="88"/>
      <c r="O9" s="88"/>
      <c r="P9" s="90"/>
      <c r="Q9" s="89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90"/>
      <c r="AF9" s="88"/>
      <c r="AG9" s="88"/>
      <c r="AH9" s="88"/>
      <c r="AI9" s="90"/>
      <c r="AJ9" s="66"/>
      <c r="AK9" s="141"/>
      <c r="AM9" s="66"/>
      <c r="AN9" s="66"/>
      <c r="AO9" s="66"/>
      <c r="AP9" s="66"/>
      <c r="AQ9" s="163"/>
      <c r="AR9" s="163"/>
      <c r="AW9" s="39"/>
      <c r="AX9" s="37"/>
      <c r="AY9" s="66"/>
      <c r="AZ9" s="66"/>
      <c r="BA9" s="66"/>
      <c r="BB9" s="66"/>
    </row>
    <row r="10" spans="2:54" ht="30" customHeight="1" x14ac:dyDescent="0.2">
      <c r="B10" s="15"/>
      <c r="C10" s="91">
        <v>1</v>
      </c>
      <c r="D10" s="620"/>
      <c r="E10" s="622"/>
      <c r="F10" s="648"/>
      <c r="G10" s="627"/>
      <c r="H10" s="650"/>
      <c r="I10" s="635"/>
      <c r="J10" s="627"/>
      <c r="K10" s="627"/>
      <c r="L10" s="627"/>
      <c r="M10" s="627"/>
      <c r="N10" s="93">
        <f>+SUM(I10:M10)</f>
        <v>0</v>
      </c>
      <c r="O10" s="94">
        <f>+VLOOKUP($I$8,'16. Fatores de conversão'!$A$6:$I$14,6,FALSE)*I10+VLOOKUP($J$8,'16. Fatores de conversão'!$A$6:$I$14,6,FALSE)*J10+VLOOKUP($K$8,'16. Fatores de conversão'!$A$6:$I$14,6,FALSE)*K10+VLOOKUP($L$8,'16. Fatores de conversão'!$A$6:$I$14,6,FALSE)*L10+VLOOKUP($M$8,'16. Fatores de conversão'!$A$6:$I$14,6,FALSE)*M10</f>
        <v>0</v>
      </c>
      <c r="P10" s="603">
        <f>+SUMPRODUCT('1. Identificação Ben. Oper.'!$D$56:$H$56,I10:M10)</f>
        <v>0</v>
      </c>
      <c r="Q10" s="636"/>
      <c r="R10" s="637"/>
      <c r="S10" s="637"/>
      <c r="T10" s="637"/>
      <c r="U10" s="637"/>
      <c r="V10" s="93">
        <f>+SUM(Q10:U10)</f>
        <v>0</v>
      </c>
      <c r="W10" s="603">
        <f>+SUMPRODUCT('1. Identificação Ben. Oper.'!$D$56:$H$56,Q10:U10)</f>
        <v>0</v>
      </c>
      <c r="X10" s="604">
        <f t="shared" ref="X10:X20" si="1">IF(N10=0,0,V10/N10)</f>
        <v>0</v>
      </c>
      <c r="Y10" s="94">
        <f>+VLOOKUP($Q$8,'16. Fatores de conversão'!$A$6:$I$14,3,FALSE)*Q10+VLOOKUP($R$8,'16. Fatores de conversão'!$A$6:$I$14,3,FALSE)*R10+VLOOKUP($S$8,'16. Fatores de conversão'!$A$6:$I$14,3,FALSE)*S10+VLOOKUP($T$8,'16. Fatores de conversão'!$A$6:$I$14,3,FALSE)*T10+VLOOKUP($U$8,'16. Fatores de conversão'!$A$6:$I$14,3,FALSE)*U10</f>
        <v>0</v>
      </c>
      <c r="Z10" s="94">
        <f>+VLOOKUP($Q$8,'16. Fatores de conversão'!$A$6:$I$14,6,FALSE)*Q10+VLOOKUP($R$8,'16. Fatores de conversão'!$A$6:$I$14,6,FALSE)*R10+VLOOKUP($S$8,'16. Fatores de conversão'!$A$6:$I$14,6,FALSE)*S10+VLOOKUP($T$8,'16. Fatores de conversão'!$A$6:$I$14,6,FALSE)*T10+VLOOKUP($U$8,'16. Fatores de conversão'!$A$6:$I$14,6,FALSE)*U10</f>
        <v>0</v>
      </c>
      <c r="AA10" s="94">
        <f>(VLOOKUP($Q$8,'16. Fatores de conversão'!$A$6:$I$14,9,FALSE)*Q10+VLOOKUP($R$8,'16. Fatores de conversão'!$A$6:$I$14,9,FALSE)*R10+VLOOKUP($S$8,'16. Fatores de conversão'!$A$6:$I$14,9,FALSE)*S10+VLOOKUP($T$8,'16. Fatores de conversão'!$A$6:$I$14,9,FALSE)*T10+VLOOKUP($U$8,'16. Fatores de conversão'!$A$6:$I$14,9,FALSE)*U10)/1000</f>
        <v>0</v>
      </c>
      <c r="AB10" s="630"/>
      <c r="AC10" s="630"/>
      <c r="AD10" s="638"/>
      <c r="AE10" s="796">
        <f t="shared" ref="AE10:AE19" si="2">IF(OR(AC10="",AC10=0),0,IF(OR(AD10="",AD10=0),0,H10+1))</f>
        <v>0</v>
      </c>
      <c r="AF10" s="630"/>
      <c r="AG10" s="630"/>
      <c r="AH10" s="807">
        <f>IF(AF10="",0,AF10+AG10)</f>
        <v>0</v>
      </c>
      <c r="AI10" s="788">
        <f>IF(W10=0,0,(AF10+AG10)/W10)</f>
        <v>0</v>
      </c>
      <c r="AJ10" s="166"/>
      <c r="AK10" s="141"/>
      <c r="AM10" s="11"/>
      <c r="AN10" s="11"/>
      <c r="AO10" s="11"/>
      <c r="AP10" s="11"/>
      <c r="AQ10" s="163"/>
      <c r="AR10" s="163"/>
      <c r="AW10" s="11"/>
      <c r="AX10" s="37"/>
      <c r="AY10" s="66"/>
      <c r="AZ10" s="66"/>
      <c r="BA10" s="66"/>
      <c r="BB10" s="11"/>
    </row>
    <row r="11" spans="2:54" ht="30" customHeight="1" x14ac:dyDescent="0.3">
      <c r="B11" s="15"/>
      <c r="C11" s="91">
        <v>2</v>
      </c>
      <c r="D11" s="620"/>
      <c r="E11" s="622"/>
      <c r="F11" s="648"/>
      <c r="G11" s="627"/>
      <c r="H11" s="650"/>
      <c r="I11" s="635"/>
      <c r="J11" s="627"/>
      <c r="K11" s="627"/>
      <c r="L11" s="627"/>
      <c r="M11" s="627"/>
      <c r="N11" s="93">
        <f t="shared" ref="N11:N14" si="3">+SUM(I11:M11)</f>
        <v>0</v>
      </c>
      <c r="O11" s="94">
        <f>+VLOOKUP($I$8,'16. Fatores de conversão'!$A$6:$I$14,6,FALSE)*I11+VLOOKUP($J$8,'16. Fatores de conversão'!$A$6:$I$14,6,FALSE)*J11+VLOOKUP($K$8,'16. Fatores de conversão'!$A$6:$I$14,6,FALSE)*K11+VLOOKUP($L$8,'16. Fatores de conversão'!$A$6:$I$14,6,FALSE)*L11+VLOOKUP($M$8,'16. Fatores de conversão'!$A$6:$I$14,6,FALSE)*M11</f>
        <v>0</v>
      </c>
      <c r="P11" s="603">
        <f>+SUMPRODUCT('1. Identificação Ben. Oper.'!$D$56:$H$56,I11:M11)</f>
        <v>0</v>
      </c>
      <c r="Q11" s="636"/>
      <c r="R11" s="637"/>
      <c r="S11" s="637"/>
      <c r="T11" s="637"/>
      <c r="U11" s="637"/>
      <c r="V11" s="93">
        <f t="shared" ref="V11:V14" si="4">+SUM(Q11:U11)</f>
        <v>0</v>
      </c>
      <c r="W11" s="603">
        <f>+SUMPRODUCT('1. Identificação Ben. Oper.'!$D$56:$H$56,Q11:U11)</f>
        <v>0</v>
      </c>
      <c r="X11" s="604">
        <f t="shared" si="1"/>
        <v>0</v>
      </c>
      <c r="Y11" s="94">
        <f>+VLOOKUP($Q$8,'16. Fatores de conversão'!$A$6:$I$14,3,FALSE)*Q11+VLOOKUP($R$8,'16. Fatores de conversão'!$A$6:$I$14,3,FALSE)*R11+VLOOKUP($S$8,'16. Fatores de conversão'!$A$6:$I$14,3,FALSE)*S11+VLOOKUP($T$8,'16. Fatores de conversão'!$A$6:$I$14,3,FALSE)*T11+VLOOKUP($U$8,'16. Fatores de conversão'!$A$6:$I$14,3,FALSE)*U11</f>
        <v>0</v>
      </c>
      <c r="Z11" s="94">
        <f>+VLOOKUP($Q$8,'16. Fatores de conversão'!$A$6:$I$14,6,FALSE)*Q11+VLOOKUP($R$8,'16. Fatores de conversão'!$A$6:$I$14,6,FALSE)*R11+VLOOKUP($S$8,'16. Fatores de conversão'!$A$6:$I$14,6,FALSE)*S11+VLOOKUP($T$8,'16. Fatores de conversão'!$A$6:$I$14,6,FALSE)*T11+VLOOKUP($U$8,'16. Fatores de conversão'!$A$6:$I$14,6,FALSE)*U11</f>
        <v>0</v>
      </c>
      <c r="AA11" s="94">
        <f>(VLOOKUP($Q$8,'16. Fatores de conversão'!$A$6:$I$14,9,FALSE)*Q11+VLOOKUP($R$8,'16. Fatores de conversão'!$A$6:$I$14,9,FALSE)*R11+VLOOKUP($S$8,'16. Fatores de conversão'!$A$6:$I$14,9,FALSE)*S11+VLOOKUP($T$8,'16. Fatores de conversão'!$A$6:$I$14,9,FALSE)*T11+VLOOKUP($U$8,'16. Fatores de conversão'!$A$6:$I$14,9,FALSE)*U11)/1000</f>
        <v>0</v>
      </c>
      <c r="AB11" s="630"/>
      <c r="AC11" s="630"/>
      <c r="AD11" s="638"/>
      <c r="AE11" s="796">
        <f t="shared" si="2"/>
        <v>0</v>
      </c>
      <c r="AF11" s="668"/>
      <c r="AG11" s="630"/>
      <c r="AH11" s="807">
        <f t="shared" ref="AH11:AH18" si="5">IF(AF11="",0,AF11+AG11)</f>
        <v>0</v>
      </c>
      <c r="AI11" s="788">
        <f t="shared" ref="AI11:AI20" si="6">IF(W11=0,0,(AF11+AG11)/W11)</f>
        <v>0</v>
      </c>
      <c r="AJ11" s="166"/>
      <c r="AK11" s="141"/>
      <c r="AM11" s="11"/>
      <c r="AN11" s="11"/>
      <c r="AO11" s="11"/>
      <c r="AP11" s="11"/>
      <c r="AQ11" s="163"/>
      <c r="AR11" s="163"/>
      <c r="AW11" s="11"/>
      <c r="AX11" s="37"/>
      <c r="AY11" s="66"/>
      <c r="AZ11" s="66"/>
      <c r="BA11" s="66"/>
      <c r="BB11" s="11"/>
    </row>
    <row r="12" spans="2:54" ht="30" customHeight="1" x14ac:dyDescent="0.3">
      <c r="B12" s="15"/>
      <c r="C12" s="91">
        <v>3</v>
      </c>
      <c r="D12" s="620"/>
      <c r="E12" s="622"/>
      <c r="F12" s="648"/>
      <c r="G12" s="627"/>
      <c r="H12" s="650"/>
      <c r="I12" s="635"/>
      <c r="J12" s="627"/>
      <c r="K12" s="627"/>
      <c r="L12" s="627"/>
      <c r="M12" s="627"/>
      <c r="N12" s="93">
        <f t="shared" si="3"/>
        <v>0</v>
      </c>
      <c r="O12" s="94">
        <f>+VLOOKUP($I$8,'16. Fatores de conversão'!$A$6:$I$14,6,FALSE)*I12+VLOOKUP($J$8,'16. Fatores de conversão'!$A$6:$I$14,6,FALSE)*J12+VLOOKUP($K$8,'16. Fatores de conversão'!$A$6:$I$14,6,FALSE)*K12+VLOOKUP($L$8,'16. Fatores de conversão'!$A$6:$I$14,6,FALSE)*L12+VLOOKUP($M$8,'16. Fatores de conversão'!$A$6:$I$14,6,FALSE)*M12</f>
        <v>0</v>
      </c>
      <c r="P12" s="603">
        <f>+SUMPRODUCT('1. Identificação Ben. Oper.'!$D$56:$H$56,I12:M12)</f>
        <v>0</v>
      </c>
      <c r="Q12" s="636"/>
      <c r="R12" s="637"/>
      <c r="S12" s="637"/>
      <c r="T12" s="637"/>
      <c r="U12" s="637"/>
      <c r="V12" s="93">
        <f t="shared" si="4"/>
        <v>0</v>
      </c>
      <c r="W12" s="603">
        <f>+SUMPRODUCT('1. Identificação Ben. Oper.'!$D$56:$H$56,Q12:U12)</f>
        <v>0</v>
      </c>
      <c r="X12" s="604">
        <f t="shared" si="1"/>
        <v>0</v>
      </c>
      <c r="Y12" s="94">
        <f>+VLOOKUP($Q$8,'16. Fatores de conversão'!$A$6:$I$14,3,FALSE)*Q12+VLOOKUP($R$8,'16. Fatores de conversão'!$A$6:$I$14,3,FALSE)*R12+VLOOKUP($S$8,'16. Fatores de conversão'!$A$6:$I$14,3,FALSE)*S12+VLOOKUP($T$8,'16. Fatores de conversão'!$A$6:$I$14,3,FALSE)*T12+VLOOKUP($U$8,'16. Fatores de conversão'!$A$6:$I$14,3,FALSE)*U12</f>
        <v>0</v>
      </c>
      <c r="Z12" s="94">
        <f>+VLOOKUP($Q$8,'16. Fatores de conversão'!$A$6:$I$14,6,FALSE)*Q12+VLOOKUP($R$8,'16. Fatores de conversão'!$A$6:$I$14,6,FALSE)*R12+VLOOKUP($S$8,'16. Fatores de conversão'!$A$6:$I$14,6,FALSE)*S12+VLOOKUP($T$8,'16. Fatores de conversão'!$A$6:$I$14,6,FALSE)*T12+VLOOKUP($U$8,'16. Fatores de conversão'!$A$6:$I$14,6,FALSE)*U12</f>
        <v>0</v>
      </c>
      <c r="AA12" s="94">
        <f>(VLOOKUP($Q$8,'16. Fatores de conversão'!$A$6:$I$14,9,FALSE)*Q12+VLOOKUP($R$8,'16. Fatores de conversão'!$A$6:$I$14,9,FALSE)*R12+VLOOKUP($S$8,'16. Fatores de conversão'!$A$6:$I$14,9,FALSE)*S12+VLOOKUP($T$8,'16. Fatores de conversão'!$A$6:$I$14,9,FALSE)*T12+VLOOKUP($U$8,'16. Fatores de conversão'!$A$6:$I$14,9,FALSE)*U12)/1000</f>
        <v>0</v>
      </c>
      <c r="AB12" s="630"/>
      <c r="AC12" s="630"/>
      <c r="AD12" s="638"/>
      <c r="AE12" s="796">
        <f t="shared" si="2"/>
        <v>0</v>
      </c>
      <c r="AF12" s="668"/>
      <c r="AG12" s="630"/>
      <c r="AH12" s="807">
        <f t="shared" si="5"/>
        <v>0</v>
      </c>
      <c r="AI12" s="788">
        <f t="shared" si="6"/>
        <v>0</v>
      </c>
      <c r="AJ12" s="166"/>
      <c r="AK12" s="141"/>
      <c r="AM12" s="11"/>
      <c r="AN12" s="11"/>
      <c r="AO12" s="11"/>
      <c r="AP12" s="11"/>
      <c r="AQ12" s="163"/>
      <c r="AR12" s="163"/>
      <c r="AW12" s="11"/>
      <c r="AX12" s="37"/>
      <c r="AY12" s="66"/>
      <c r="AZ12" s="66"/>
      <c r="BA12" s="66"/>
      <c r="BB12" s="11"/>
    </row>
    <row r="13" spans="2:54" ht="30" customHeight="1" x14ac:dyDescent="0.3">
      <c r="B13" s="15"/>
      <c r="C13" s="91">
        <v>4</v>
      </c>
      <c r="D13" s="620"/>
      <c r="E13" s="622"/>
      <c r="F13" s="648"/>
      <c r="G13" s="627"/>
      <c r="H13" s="650"/>
      <c r="I13" s="635"/>
      <c r="J13" s="627"/>
      <c r="K13" s="627"/>
      <c r="L13" s="627"/>
      <c r="M13" s="627"/>
      <c r="N13" s="93">
        <f t="shared" si="3"/>
        <v>0</v>
      </c>
      <c r="O13" s="94">
        <f>+VLOOKUP($I$8,'16. Fatores de conversão'!$A$6:$I$14,6,FALSE)*I13+VLOOKUP($J$8,'16. Fatores de conversão'!$A$6:$I$14,6,FALSE)*J13+VLOOKUP($K$8,'16. Fatores de conversão'!$A$6:$I$14,6,FALSE)*K13+VLOOKUP($L$8,'16. Fatores de conversão'!$A$6:$I$14,6,FALSE)*L13+VLOOKUP($M$8,'16. Fatores de conversão'!$A$6:$I$14,6,FALSE)*M13</f>
        <v>0</v>
      </c>
      <c r="P13" s="603">
        <f>+SUMPRODUCT('1. Identificação Ben. Oper.'!$D$56:$H$56,I13:M13)</f>
        <v>0</v>
      </c>
      <c r="Q13" s="636"/>
      <c r="R13" s="637"/>
      <c r="S13" s="637"/>
      <c r="T13" s="637"/>
      <c r="U13" s="637"/>
      <c r="V13" s="93">
        <f t="shared" si="4"/>
        <v>0</v>
      </c>
      <c r="W13" s="603">
        <f>+SUMPRODUCT('1. Identificação Ben. Oper.'!$D$56:$H$56,Q13:U13)</f>
        <v>0</v>
      </c>
      <c r="X13" s="604">
        <f t="shared" si="1"/>
        <v>0</v>
      </c>
      <c r="Y13" s="94">
        <f>+VLOOKUP($Q$8,'16. Fatores de conversão'!$A$6:$I$14,3,FALSE)*Q13+VLOOKUP($R$8,'16. Fatores de conversão'!$A$6:$I$14,3,FALSE)*R13+VLOOKUP($S$8,'16. Fatores de conversão'!$A$6:$I$14,3,FALSE)*S13+VLOOKUP($T$8,'16. Fatores de conversão'!$A$6:$I$14,3,FALSE)*T13+VLOOKUP($U$8,'16. Fatores de conversão'!$A$6:$I$14,3,FALSE)*U13</f>
        <v>0</v>
      </c>
      <c r="Z13" s="94">
        <f>+VLOOKUP($Q$8,'16. Fatores de conversão'!$A$6:$I$14,6,FALSE)*Q13+VLOOKUP($R$8,'16. Fatores de conversão'!$A$6:$I$14,6,FALSE)*R13+VLOOKUP($S$8,'16. Fatores de conversão'!$A$6:$I$14,6,FALSE)*S13+VLOOKUP($T$8,'16. Fatores de conversão'!$A$6:$I$14,6,FALSE)*T13+VLOOKUP($U$8,'16. Fatores de conversão'!$A$6:$I$14,6,FALSE)*U13</f>
        <v>0</v>
      </c>
      <c r="AA13" s="94">
        <f>(VLOOKUP($Q$8,'16. Fatores de conversão'!$A$6:$I$14,9,FALSE)*Q13+VLOOKUP($R$8,'16. Fatores de conversão'!$A$6:$I$14,9,FALSE)*R13+VLOOKUP($S$8,'16. Fatores de conversão'!$A$6:$I$14,9,FALSE)*S13+VLOOKUP($T$8,'16. Fatores de conversão'!$A$6:$I$14,9,FALSE)*T13+VLOOKUP($U$8,'16. Fatores de conversão'!$A$6:$I$14,9,FALSE)*U13)/1000</f>
        <v>0</v>
      </c>
      <c r="AB13" s="630"/>
      <c r="AC13" s="630"/>
      <c r="AD13" s="638"/>
      <c r="AE13" s="796">
        <f t="shared" si="2"/>
        <v>0</v>
      </c>
      <c r="AF13" s="668"/>
      <c r="AG13" s="630"/>
      <c r="AH13" s="807">
        <f t="shared" si="5"/>
        <v>0</v>
      </c>
      <c r="AI13" s="788">
        <f t="shared" si="6"/>
        <v>0</v>
      </c>
      <c r="AJ13" s="166"/>
      <c r="AK13" s="141"/>
      <c r="AM13" s="11"/>
      <c r="AN13" s="11"/>
      <c r="AO13" s="11"/>
      <c r="AP13" s="11"/>
      <c r="AQ13" s="163"/>
      <c r="AR13" s="163"/>
      <c r="AW13" s="11"/>
      <c r="AX13" s="95"/>
      <c r="AY13" s="66"/>
      <c r="AZ13" s="66"/>
      <c r="BA13" s="66"/>
      <c r="BB13" s="11"/>
    </row>
    <row r="14" spans="2:54" ht="30" customHeight="1" x14ac:dyDescent="0.3">
      <c r="B14" s="15"/>
      <c r="C14" s="91">
        <v>5</v>
      </c>
      <c r="D14" s="620"/>
      <c r="E14" s="622"/>
      <c r="F14" s="648"/>
      <c r="G14" s="627"/>
      <c r="H14" s="650"/>
      <c r="I14" s="635"/>
      <c r="J14" s="627"/>
      <c r="K14" s="627"/>
      <c r="L14" s="627"/>
      <c r="M14" s="627"/>
      <c r="N14" s="93">
        <f t="shared" si="3"/>
        <v>0</v>
      </c>
      <c r="O14" s="94">
        <f>+VLOOKUP($I$8,'16. Fatores de conversão'!$A$6:$I$14,6,FALSE)*I14+VLOOKUP($J$8,'16. Fatores de conversão'!$A$6:$I$14,6,FALSE)*J14+VLOOKUP($K$8,'16. Fatores de conversão'!$A$6:$I$14,6,FALSE)*K14+VLOOKUP($L$8,'16. Fatores de conversão'!$A$6:$I$14,6,FALSE)*L14+VLOOKUP($M$8,'16. Fatores de conversão'!$A$6:$I$14,6,FALSE)*M14</f>
        <v>0</v>
      </c>
      <c r="P14" s="603">
        <f>+SUMPRODUCT('1. Identificação Ben. Oper.'!$D$56:$H$56,I14:M14)</f>
        <v>0</v>
      </c>
      <c r="Q14" s="636"/>
      <c r="R14" s="637"/>
      <c r="S14" s="637"/>
      <c r="T14" s="637"/>
      <c r="U14" s="637"/>
      <c r="V14" s="93">
        <f t="shared" si="4"/>
        <v>0</v>
      </c>
      <c r="W14" s="603">
        <f>+SUMPRODUCT('1. Identificação Ben. Oper.'!$D$56:$H$56,Q14:U14)</f>
        <v>0</v>
      </c>
      <c r="X14" s="604">
        <f t="shared" si="1"/>
        <v>0</v>
      </c>
      <c r="Y14" s="94">
        <f>+VLOOKUP($Q$8,'16. Fatores de conversão'!$A$6:$I$14,3,FALSE)*Q14+VLOOKUP($R$8,'16. Fatores de conversão'!$A$6:$I$14,3,FALSE)*R14+VLOOKUP($S$8,'16. Fatores de conversão'!$A$6:$I$14,3,FALSE)*S14+VLOOKUP($T$8,'16. Fatores de conversão'!$A$6:$I$14,3,FALSE)*T14+VLOOKUP($U$8,'16. Fatores de conversão'!$A$6:$I$14,3,FALSE)*U14</f>
        <v>0</v>
      </c>
      <c r="Z14" s="94">
        <f>+VLOOKUP($Q$8,'16. Fatores de conversão'!$A$6:$I$14,6,FALSE)*Q14+VLOOKUP($R$8,'16. Fatores de conversão'!$A$6:$I$14,6,FALSE)*R14+VLOOKUP($S$8,'16. Fatores de conversão'!$A$6:$I$14,6,FALSE)*S14+VLOOKUP($T$8,'16. Fatores de conversão'!$A$6:$I$14,6,FALSE)*T14+VLOOKUP($U$8,'16. Fatores de conversão'!$A$6:$I$14,6,FALSE)*U14</f>
        <v>0</v>
      </c>
      <c r="AA14" s="94">
        <f>(VLOOKUP($Q$8,'16. Fatores de conversão'!$A$6:$I$14,9,FALSE)*Q14+VLOOKUP($R$8,'16. Fatores de conversão'!$A$6:$I$14,9,FALSE)*R14+VLOOKUP($S$8,'16. Fatores de conversão'!$A$6:$I$14,9,FALSE)*S14+VLOOKUP($T$8,'16. Fatores de conversão'!$A$6:$I$14,9,FALSE)*T14+VLOOKUP($U$8,'16. Fatores de conversão'!$A$6:$I$14,9,FALSE)*U14)/1000</f>
        <v>0</v>
      </c>
      <c r="AB14" s="630"/>
      <c r="AC14" s="630"/>
      <c r="AD14" s="638"/>
      <c r="AE14" s="796">
        <f t="shared" si="2"/>
        <v>0</v>
      </c>
      <c r="AF14" s="668"/>
      <c r="AG14" s="630"/>
      <c r="AH14" s="807">
        <f>IF(AF14="",0,AF14+AG14)</f>
        <v>0</v>
      </c>
      <c r="AI14" s="788">
        <f t="shared" si="6"/>
        <v>0</v>
      </c>
      <c r="AJ14" s="166"/>
      <c r="AK14" s="141"/>
      <c r="AM14" s="11"/>
      <c r="AN14" s="11"/>
      <c r="AO14" s="11"/>
      <c r="AP14" s="11"/>
      <c r="AQ14" s="163"/>
      <c r="AR14" s="163"/>
      <c r="AW14" s="11"/>
      <c r="AX14" s="95"/>
      <c r="AY14" s="66"/>
      <c r="AZ14" s="66"/>
      <c r="BA14" s="66"/>
      <c r="BB14" s="11"/>
    </row>
    <row r="15" spans="2:54" ht="30" customHeight="1" x14ac:dyDescent="0.3">
      <c r="B15" s="15"/>
      <c r="C15" s="91">
        <v>6</v>
      </c>
      <c r="D15" s="620"/>
      <c r="E15" s="622"/>
      <c r="F15" s="648"/>
      <c r="G15" s="627"/>
      <c r="H15" s="650"/>
      <c r="I15" s="635"/>
      <c r="J15" s="627"/>
      <c r="K15" s="627"/>
      <c r="L15" s="627"/>
      <c r="M15" s="627"/>
      <c r="N15" s="93">
        <f t="shared" ref="N15:N19" si="7">+SUM(I15:M15)</f>
        <v>0</v>
      </c>
      <c r="O15" s="94">
        <f>+VLOOKUP($I$8,'16. Fatores de conversão'!$A$6:$I$14,6,FALSE)*I15+VLOOKUP($J$8,'16. Fatores de conversão'!$A$6:$I$14,6,FALSE)*J15+VLOOKUP($K$8,'16. Fatores de conversão'!$A$6:$I$14,6,FALSE)*K15+VLOOKUP($L$8,'16. Fatores de conversão'!$A$6:$I$14,6,FALSE)*L15+VLOOKUP($M$8,'16. Fatores de conversão'!$A$6:$I$14,6,FALSE)*M15</f>
        <v>0</v>
      </c>
      <c r="P15" s="603">
        <f>+SUMPRODUCT('1. Identificação Ben. Oper.'!$D$56:$H$56,I15:M15)</f>
        <v>0</v>
      </c>
      <c r="Q15" s="636"/>
      <c r="R15" s="637"/>
      <c r="S15" s="637"/>
      <c r="T15" s="637"/>
      <c r="U15" s="637"/>
      <c r="V15" s="93">
        <f t="shared" ref="V15:V19" si="8">+SUM(Q15:U15)</f>
        <v>0</v>
      </c>
      <c r="W15" s="603">
        <f>+SUMPRODUCT('1. Identificação Ben. Oper.'!$D$56:$H$56,Q15:U15)</f>
        <v>0</v>
      </c>
      <c r="X15" s="604">
        <f t="shared" si="1"/>
        <v>0</v>
      </c>
      <c r="Y15" s="94">
        <f>+VLOOKUP($Q$8,'16. Fatores de conversão'!$A$6:$I$14,3,FALSE)*Q15+VLOOKUP($R$8,'16. Fatores de conversão'!$A$6:$I$14,3,FALSE)*R15+VLOOKUP($S$8,'16. Fatores de conversão'!$A$6:$I$14,3,FALSE)*S15+VLOOKUP($T$8,'16. Fatores de conversão'!$A$6:$I$14,3,FALSE)*T15+VLOOKUP($U$8,'16. Fatores de conversão'!$A$6:$I$14,3,FALSE)*U15</f>
        <v>0</v>
      </c>
      <c r="Z15" s="94">
        <f>+VLOOKUP($Q$8,'16. Fatores de conversão'!$A$6:$I$14,6,FALSE)*Q15+VLOOKUP($R$8,'16. Fatores de conversão'!$A$6:$I$14,6,FALSE)*R15+VLOOKUP($S$8,'16. Fatores de conversão'!$A$6:$I$14,6,FALSE)*S15+VLOOKUP($T$8,'16. Fatores de conversão'!$A$6:$I$14,6,FALSE)*T15+VLOOKUP($U$8,'16. Fatores de conversão'!$A$6:$I$14,6,FALSE)*U15</f>
        <v>0</v>
      </c>
      <c r="AA15" s="94">
        <f>(VLOOKUP($Q$8,'16. Fatores de conversão'!$A$6:$I$14,9,FALSE)*Q15+VLOOKUP($R$8,'16. Fatores de conversão'!$A$6:$I$14,9,FALSE)*R15+VLOOKUP($S$8,'16. Fatores de conversão'!$A$6:$I$14,9,FALSE)*S15+VLOOKUP($T$8,'16. Fatores de conversão'!$A$6:$I$14,9,FALSE)*T15+VLOOKUP($U$8,'16. Fatores de conversão'!$A$6:$I$14,9,FALSE)*U15)/1000</f>
        <v>0</v>
      </c>
      <c r="AB15" s="630"/>
      <c r="AC15" s="630"/>
      <c r="AD15" s="638"/>
      <c r="AE15" s="796">
        <f t="shared" si="2"/>
        <v>0</v>
      </c>
      <c r="AF15" s="630"/>
      <c r="AG15" s="630"/>
      <c r="AH15" s="807">
        <f t="shared" si="5"/>
        <v>0</v>
      </c>
      <c r="AI15" s="788">
        <f t="shared" si="6"/>
        <v>0</v>
      </c>
      <c r="AJ15" s="166"/>
      <c r="AK15" s="141"/>
      <c r="AM15" s="11"/>
      <c r="AN15" s="11"/>
      <c r="AO15" s="11"/>
      <c r="AP15" s="11"/>
      <c r="AQ15" s="163"/>
      <c r="AR15" s="163"/>
      <c r="AW15" s="11"/>
      <c r="AX15" s="95"/>
      <c r="AY15" s="66"/>
      <c r="AZ15" s="66"/>
      <c r="BA15" s="66"/>
      <c r="BB15" s="11"/>
    </row>
    <row r="16" spans="2:54" ht="30" customHeight="1" x14ac:dyDescent="0.3">
      <c r="B16" s="15"/>
      <c r="C16" s="91">
        <v>7</v>
      </c>
      <c r="D16" s="620"/>
      <c r="E16" s="622"/>
      <c r="F16" s="648"/>
      <c r="G16" s="627"/>
      <c r="H16" s="650"/>
      <c r="I16" s="635"/>
      <c r="J16" s="627"/>
      <c r="K16" s="627"/>
      <c r="L16" s="627"/>
      <c r="M16" s="627"/>
      <c r="N16" s="93">
        <f t="shared" si="7"/>
        <v>0</v>
      </c>
      <c r="O16" s="94">
        <f>+VLOOKUP($I$8,'16. Fatores de conversão'!$A$6:$I$14,6,FALSE)*I16+VLOOKUP($J$8,'16. Fatores de conversão'!$A$6:$I$14,6,FALSE)*J16+VLOOKUP($K$8,'16. Fatores de conversão'!$A$6:$I$14,6,FALSE)*K16+VLOOKUP($L$8,'16. Fatores de conversão'!$A$6:$I$14,6,FALSE)*L16+VLOOKUP($M$8,'16. Fatores de conversão'!$A$6:$I$14,6,FALSE)*M16</f>
        <v>0</v>
      </c>
      <c r="P16" s="603">
        <f>+SUMPRODUCT('1. Identificação Ben. Oper.'!$D$56:$H$56,I16:M16)</f>
        <v>0</v>
      </c>
      <c r="Q16" s="636"/>
      <c r="R16" s="637"/>
      <c r="S16" s="637"/>
      <c r="T16" s="637"/>
      <c r="U16" s="637"/>
      <c r="V16" s="93">
        <f t="shared" si="8"/>
        <v>0</v>
      </c>
      <c r="W16" s="603">
        <f>+SUMPRODUCT('1. Identificação Ben. Oper.'!$D$56:$H$56,Q16:U16)</f>
        <v>0</v>
      </c>
      <c r="X16" s="604">
        <f t="shared" si="1"/>
        <v>0</v>
      </c>
      <c r="Y16" s="94">
        <f>+VLOOKUP($Q$8,'16. Fatores de conversão'!$A$6:$I$14,3,FALSE)*Q16+VLOOKUP($R$8,'16. Fatores de conversão'!$A$6:$I$14,3,FALSE)*R16+VLOOKUP($S$8,'16. Fatores de conversão'!$A$6:$I$14,3,FALSE)*S16+VLOOKUP($T$8,'16. Fatores de conversão'!$A$6:$I$14,3,FALSE)*T16+VLOOKUP($U$8,'16. Fatores de conversão'!$A$6:$I$14,3,FALSE)*U16</f>
        <v>0</v>
      </c>
      <c r="Z16" s="94">
        <f>+VLOOKUP($Q$8,'16. Fatores de conversão'!$A$6:$I$14,6,FALSE)*Q16+VLOOKUP($R$8,'16. Fatores de conversão'!$A$6:$I$14,6,FALSE)*R16+VLOOKUP($S$8,'16. Fatores de conversão'!$A$6:$I$14,6,FALSE)*S16+VLOOKUP($T$8,'16. Fatores de conversão'!$A$6:$I$14,6,FALSE)*T16+VLOOKUP($U$8,'16. Fatores de conversão'!$A$6:$I$14,6,FALSE)*U16</f>
        <v>0</v>
      </c>
      <c r="AA16" s="94">
        <f>(VLOOKUP($Q$8,'16. Fatores de conversão'!$A$6:$I$14,9,FALSE)*Q16+VLOOKUP($R$8,'16. Fatores de conversão'!$A$6:$I$14,9,FALSE)*R16+VLOOKUP($S$8,'16. Fatores de conversão'!$A$6:$I$14,9,FALSE)*S16+VLOOKUP($T$8,'16. Fatores de conversão'!$A$6:$I$14,9,FALSE)*T16+VLOOKUP($U$8,'16. Fatores de conversão'!$A$6:$I$14,9,FALSE)*U16)/1000</f>
        <v>0</v>
      </c>
      <c r="AB16" s="630"/>
      <c r="AC16" s="630"/>
      <c r="AD16" s="638"/>
      <c r="AE16" s="796">
        <f t="shared" si="2"/>
        <v>0</v>
      </c>
      <c r="AF16" s="630"/>
      <c r="AG16" s="630"/>
      <c r="AH16" s="807">
        <f t="shared" si="5"/>
        <v>0</v>
      </c>
      <c r="AI16" s="788">
        <f t="shared" si="6"/>
        <v>0</v>
      </c>
      <c r="AJ16" s="166"/>
      <c r="AK16" s="141"/>
      <c r="AM16" s="11"/>
      <c r="AN16" s="11"/>
      <c r="AO16" s="11"/>
      <c r="AP16" s="11"/>
      <c r="AQ16" s="163"/>
      <c r="AR16" s="163"/>
      <c r="AW16" s="11"/>
      <c r="AX16" s="95"/>
      <c r="AY16" s="66"/>
      <c r="AZ16" s="66"/>
      <c r="BA16" s="66"/>
      <c r="BB16" s="11"/>
    </row>
    <row r="17" spans="2:54" ht="30" customHeight="1" x14ac:dyDescent="0.3">
      <c r="B17" s="15"/>
      <c r="C17" s="91">
        <v>8</v>
      </c>
      <c r="D17" s="620"/>
      <c r="E17" s="622"/>
      <c r="F17" s="648"/>
      <c r="G17" s="627"/>
      <c r="H17" s="650"/>
      <c r="I17" s="635"/>
      <c r="J17" s="627"/>
      <c r="K17" s="627"/>
      <c r="L17" s="627"/>
      <c r="M17" s="627"/>
      <c r="N17" s="93">
        <f t="shared" si="7"/>
        <v>0</v>
      </c>
      <c r="O17" s="94">
        <f>+VLOOKUP($I$8,'16. Fatores de conversão'!$A$6:$I$14,6,FALSE)*I17+VLOOKUP($J$8,'16. Fatores de conversão'!$A$6:$I$14,6,FALSE)*J17+VLOOKUP($K$8,'16. Fatores de conversão'!$A$6:$I$14,6,FALSE)*K17+VLOOKUP($L$8,'16. Fatores de conversão'!$A$6:$I$14,6,FALSE)*L17+VLOOKUP($M$8,'16. Fatores de conversão'!$A$6:$I$14,6,FALSE)*M17</f>
        <v>0</v>
      </c>
      <c r="P17" s="603">
        <f>+SUMPRODUCT('1. Identificação Ben. Oper.'!$D$56:$H$56,I17:M17)</f>
        <v>0</v>
      </c>
      <c r="Q17" s="636"/>
      <c r="R17" s="637"/>
      <c r="S17" s="637"/>
      <c r="T17" s="637"/>
      <c r="U17" s="637"/>
      <c r="V17" s="93">
        <f t="shared" si="8"/>
        <v>0</v>
      </c>
      <c r="W17" s="603">
        <f>+SUMPRODUCT('1. Identificação Ben. Oper.'!$D$56:$H$56,Q17:U17)</f>
        <v>0</v>
      </c>
      <c r="X17" s="604">
        <f t="shared" si="1"/>
        <v>0</v>
      </c>
      <c r="Y17" s="94">
        <f>+VLOOKUP($Q$8,'16. Fatores de conversão'!$A$6:$I$14,3,FALSE)*Q17+VLOOKUP($R$8,'16. Fatores de conversão'!$A$6:$I$14,3,FALSE)*R17+VLOOKUP($S$8,'16. Fatores de conversão'!$A$6:$I$14,3,FALSE)*S17+VLOOKUP($T$8,'16. Fatores de conversão'!$A$6:$I$14,3,FALSE)*T17+VLOOKUP($U$8,'16. Fatores de conversão'!$A$6:$I$14,3,FALSE)*U17</f>
        <v>0</v>
      </c>
      <c r="Z17" s="94">
        <f>+VLOOKUP($Q$8,'16. Fatores de conversão'!$A$6:$I$14,6,FALSE)*Q17+VLOOKUP($R$8,'16. Fatores de conversão'!$A$6:$I$14,6,FALSE)*R17+VLOOKUP($S$8,'16. Fatores de conversão'!$A$6:$I$14,6,FALSE)*S17+VLOOKUP($T$8,'16. Fatores de conversão'!$A$6:$I$14,6,FALSE)*T17+VLOOKUP($U$8,'16. Fatores de conversão'!$A$6:$I$14,6,FALSE)*U17</f>
        <v>0</v>
      </c>
      <c r="AA17" s="94">
        <f>(VLOOKUP($Q$8,'16. Fatores de conversão'!$A$6:$I$14,9,FALSE)*Q17+VLOOKUP($R$8,'16. Fatores de conversão'!$A$6:$I$14,9,FALSE)*R17+VLOOKUP($S$8,'16. Fatores de conversão'!$A$6:$I$14,9,FALSE)*S17+VLOOKUP($T$8,'16. Fatores de conversão'!$A$6:$I$14,9,FALSE)*T17+VLOOKUP($U$8,'16. Fatores de conversão'!$A$6:$I$14,9,FALSE)*U17)/1000</f>
        <v>0</v>
      </c>
      <c r="AB17" s="630"/>
      <c r="AC17" s="630"/>
      <c r="AD17" s="638"/>
      <c r="AE17" s="796">
        <f t="shared" si="2"/>
        <v>0</v>
      </c>
      <c r="AF17" s="630"/>
      <c r="AG17" s="630"/>
      <c r="AH17" s="807">
        <f t="shared" si="5"/>
        <v>0</v>
      </c>
      <c r="AI17" s="788">
        <f t="shared" si="6"/>
        <v>0</v>
      </c>
      <c r="AJ17" s="166"/>
      <c r="AK17" s="141"/>
      <c r="AM17" s="11"/>
      <c r="AN17" s="11"/>
      <c r="AO17" s="11"/>
      <c r="AP17" s="11"/>
      <c r="AQ17" s="163"/>
      <c r="AR17" s="163"/>
      <c r="AW17" s="11"/>
      <c r="AX17" s="95"/>
      <c r="AY17" s="66"/>
      <c r="AZ17" s="66"/>
      <c r="BA17" s="66"/>
      <c r="BB17" s="11"/>
    </row>
    <row r="18" spans="2:54" ht="30" customHeight="1" x14ac:dyDescent="0.3">
      <c r="B18" s="15"/>
      <c r="C18" s="91">
        <v>9</v>
      </c>
      <c r="D18" s="620"/>
      <c r="E18" s="622"/>
      <c r="F18" s="648"/>
      <c r="G18" s="627"/>
      <c r="H18" s="650"/>
      <c r="I18" s="635"/>
      <c r="J18" s="627"/>
      <c r="K18" s="627"/>
      <c r="L18" s="627"/>
      <c r="M18" s="627"/>
      <c r="N18" s="93">
        <f t="shared" si="7"/>
        <v>0</v>
      </c>
      <c r="O18" s="94">
        <f>+VLOOKUP($I$8,'16. Fatores de conversão'!$A$6:$I$14,6,FALSE)*I18+VLOOKUP($J$8,'16. Fatores de conversão'!$A$6:$I$14,6,FALSE)*J18+VLOOKUP($K$8,'16. Fatores de conversão'!$A$6:$I$14,6,FALSE)*K18+VLOOKUP($L$8,'16. Fatores de conversão'!$A$6:$I$14,6,FALSE)*L18+VLOOKUP($M$8,'16. Fatores de conversão'!$A$6:$I$14,6,FALSE)*M18</f>
        <v>0</v>
      </c>
      <c r="P18" s="603">
        <f>+SUMPRODUCT('1. Identificação Ben. Oper.'!$D$56:$H$56,I18:M18)</f>
        <v>0</v>
      </c>
      <c r="Q18" s="636"/>
      <c r="R18" s="637"/>
      <c r="S18" s="637"/>
      <c r="T18" s="637"/>
      <c r="U18" s="637"/>
      <c r="V18" s="93">
        <f t="shared" si="8"/>
        <v>0</v>
      </c>
      <c r="W18" s="603">
        <f>+SUMPRODUCT('1. Identificação Ben. Oper.'!$D$56:$H$56,Q18:U18)</f>
        <v>0</v>
      </c>
      <c r="X18" s="604">
        <f t="shared" si="1"/>
        <v>0</v>
      </c>
      <c r="Y18" s="94">
        <f>+VLOOKUP($Q$8,'16. Fatores de conversão'!$A$6:$I$14,3,FALSE)*Q18+VLOOKUP($R$8,'16. Fatores de conversão'!$A$6:$I$14,3,FALSE)*R18+VLOOKUP($S$8,'16. Fatores de conversão'!$A$6:$I$14,3,FALSE)*S18+VLOOKUP($T$8,'16. Fatores de conversão'!$A$6:$I$14,3,FALSE)*T18+VLOOKUP($U$8,'16. Fatores de conversão'!$A$6:$I$14,3,FALSE)*U18</f>
        <v>0</v>
      </c>
      <c r="Z18" s="94">
        <f>+VLOOKUP($Q$8,'16. Fatores de conversão'!$A$6:$I$14,6,FALSE)*Q18+VLOOKUP($R$8,'16. Fatores de conversão'!$A$6:$I$14,6,FALSE)*R18+VLOOKUP($S$8,'16. Fatores de conversão'!$A$6:$I$14,6,FALSE)*S18+VLOOKUP($T$8,'16. Fatores de conversão'!$A$6:$I$14,6,FALSE)*T18+VLOOKUP($U$8,'16. Fatores de conversão'!$A$6:$I$14,6,FALSE)*U18</f>
        <v>0</v>
      </c>
      <c r="AA18" s="94">
        <f>(VLOOKUP($Q$8,'16. Fatores de conversão'!$A$6:$I$14,9,FALSE)*Q18+VLOOKUP($R$8,'16. Fatores de conversão'!$A$6:$I$14,9,FALSE)*R18+VLOOKUP($S$8,'16. Fatores de conversão'!$A$6:$I$14,9,FALSE)*S18+VLOOKUP($T$8,'16. Fatores de conversão'!$A$6:$I$14,9,FALSE)*T18+VLOOKUP($U$8,'16. Fatores de conversão'!$A$6:$I$14,9,FALSE)*U18)/1000</f>
        <v>0</v>
      </c>
      <c r="AB18" s="630"/>
      <c r="AC18" s="630"/>
      <c r="AD18" s="638"/>
      <c r="AE18" s="796">
        <f t="shared" si="2"/>
        <v>0</v>
      </c>
      <c r="AF18" s="630"/>
      <c r="AG18" s="630"/>
      <c r="AH18" s="807">
        <f t="shared" si="5"/>
        <v>0</v>
      </c>
      <c r="AI18" s="788">
        <f t="shared" si="6"/>
        <v>0</v>
      </c>
      <c r="AJ18" s="166"/>
      <c r="AK18" s="141"/>
      <c r="AM18" s="11"/>
      <c r="AN18" s="11"/>
      <c r="AO18" s="11"/>
      <c r="AP18" s="11"/>
      <c r="AQ18" s="163"/>
      <c r="AR18" s="163"/>
      <c r="AW18" s="11"/>
      <c r="AX18" s="95"/>
      <c r="AY18" s="66"/>
      <c r="AZ18" s="66"/>
      <c r="BA18" s="66"/>
      <c r="BB18" s="11"/>
    </row>
    <row r="19" spans="2:54" ht="30" customHeight="1" thickBot="1" x14ac:dyDescent="0.35">
      <c r="B19" s="15"/>
      <c r="C19" s="97">
        <v>10</v>
      </c>
      <c r="D19" s="662"/>
      <c r="E19" s="651"/>
      <c r="F19" s="652"/>
      <c r="G19" s="647"/>
      <c r="H19" s="653"/>
      <c r="I19" s="635"/>
      <c r="J19" s="627"/>
      <c r="K19" s="627"/>
      <c r="L19" s="627"/>
      <c r="M19" s="627"/>
      <c r="N19" s="93">
        <f t="shared" si="7"/>
        <v>0</v>
      </c>
      <c r="O19" s="94">
        <f>+VLOOKUP($I$8,'16. Fatores de conversão'!$A$6:$I$14,6,FALSE)*I19+VLOOKUP($J$8,'16. Fatores de conversão'!$A$6:$I$14,6,FALSE)*J19+VLOOKUP($K$8,'16. Fatores de conversão'!$A$6:$I$14,6,FALSE)*K19+VLOOKUP($L$8,'16. Fatores de conversão'!$A$6:$I$14,6,FALSE)*L19+VLOOKUP($M$8,'16. Fatores de conversão'!$A$6:$I$14,6,FALSE)*M19</f>
        <v>0</v>
      </c>
      <c r="P19" s="603">
        <f>+SUMPRODUCT('1. Identificação Ben. Oper.'!$D$56:$H$56,I19:M19)</f>
        <v>0</v>
      </c>
      <c r="Q19" s="636"/>
      <c r="R19" s="637"/>
      <c r="S19" s="637"/>
      <c r="T19" s="637"/>
      <c r="U19" s="637"/>
      <c r="V19" s="93">
        <f t="shared" si="8"/>
        <v>0</v>
      </c>
      <c r="W19" s="603">
        <f>+SUMPRODUCT('1. Identificação Ben. Oper.'!$D$56:$H$56,Q19:U19)</f>
        <v>0</v>
      </c>
      <c r="X19" s="604">
        <f t="shared" si="1"/>
        <v>0</v>
      </c>
      <c r="Y19" s="94">
        <f>+VLOOKUP($Q$8,'16. Fatores de conversão'!$A$6:$I$14,3,FALSE)*Q19+VLOOKUP($R$8,'16. Fatores de conversão'!$A$6:$I$14,3,FALSE)*R19+VLOOKUP($S$8,'16. Fatores de conversão'!$A$6:$I$14,3,FALSE)*S19+VLOOKUP($T$8,'16. Fatores de conversão'!$A$6:$I$14,3,FALSE)*T19+VLOOKUP($U$8,'16. Fatores de conversão'!$A$6:$I$14,3,FALSE)*U19</f>
        <v>0</v>
      </c>
      <c r="Z19" s="94">
        <f>+VLOOKUP($Q$8,'16. Fatores de conversão'!$A$6:$I$14,6,FALSE)*Q19+VLOOKUP($R$8,'16. Fatores de conversão'!$A$6:$I$14,6,FALSE)*R19+VLOOKUP($S$8,'16. Fatores de conversão'!$A$6:$I$14,6,FALSE)*S19+VLOOKUP($T$8,'16. Fatores de conversão'!$A$6:$I$14,6,FALSE)*T19+VLOOKUP($U$8,'16. Fatores de conversão'!$A$6:$I$14,6,FALSE)*U19</f>
        <v>0</v>
      </c>
      <c r="AA19" s="94">
        <f>(VLOOKUP($Q$8,'16. Fatores de conversão'!$A$6:$I$14,9,FALSE)*Q19+VLOOKUP($R$8,'16. Fatores de conversão'!$A$6:$I$14,9,FALSE)*R19+VLOOKUP($S$8,'16. Fatores de conversão'!$A$6:$I$14,9,FALSE)*S19+VLOOKUP($T$8,'16. Fatores de conversão'!$A$6:$I$14,9,FALSE)*T19+VLOOKUP($U$8,'16. Fatores de conversão'!$A$6:$I$14,9,FALSE)*U19)/1000</f>
        <v>0</v>
      </c>
      <c r="AB19" s="630"/>
      <c r="AC19" s="630"/>
      <c r="AD19" s="638"/>
      <c r="AE19" s="796">
        <f t="shared" si="2"/>
        <v>0</v>
      </c>
      <c r="AF19" s="649"/>
      <c r="AG19" s="630"/>
      <c r="AH19" s="807">
        <f>IF(AF19="",0,AF19+AG19)</f>
        <v>0</v>
      </c>
      <c r="AI19" s="788">
        <f t="shared" si="6"/>
        <v>0</v>
      </c>
      <c r="AJ19" s="166"/>
      <c r="AK19" s="141"/>
      <c r="AM19" s="11"/>
      <c r="AN19" s="11"/>
      <c r="AO19" s="11"/>
      <c r="AP19" s="11"/>
      <c r="AQ19" s="163"/>
      <c r="AR19" s="163"/>
      <c r="AW19" s="11"/>
      <c r="AX19" s="95"/>
      <c r="AY19" s="66"/>
      <c r="AZ19" s="66"/>
      <c r="BA19" s="66"/>
      <c r="BB19" s="11"/>
    </row>
    <row r="20" spans="2:54" ht="15" thickBot="1" x14ac:dyDescent="0.35">
      <c r="B20" s="15"/>
      <c r="C20" s="21"/>
      <c r="D20" s="11"/>
      <c r="E20" s="11"/>
      <c r="F20" s="11"/>
      <c r="G20" s="11"/>
      <c r="H20" s="11"/>
      <c r="I20" s="778">
        <f>SUM(I10:I19)</f>
        <v>0</v>
      </c>
      <c r="J20" s="779">
        <f t="shared" ref="J20:P20" si="9">SUM(J10:J19)</f>
        <v>0</v>
      </c>
      <c r="K20" s="779">
        <f t="shared" si="9"/>
        <v>0</v>
      </c>
      <c r="L20" s="779">
        <f t="shared" si="9"/>
        <v>0</v>
      </c>
      <c r="M20" s="779">
        <f t="shared" si="9"/>
        <v>0</v>
      </c>
      <c r="N20" s="779">
        <f t="shared" si="9"/>
        <v>0</v>
      </c>
      <c r="O20" s="780">
        <f t="shared" si="9"/>
        <v>0</v>
      </c>
      <c r="P20" s="781">
        <f t="shared" si="9"/>
        <v>0</v>
      </c>
      <c r="Q20" s="778">
        <f t="shared" ref="Q20" si="10">SUM(Q10:Q19)</f>
        <v>0</v>
      </c>
      <c r="R20" s="779">
        <f t="shared" ref="R20" si="11">SUM(R10:R19)</f>
        <v>0</v>
      </c>
      <c r="S20" s="779">
        <f t="shared" ref="S20" si="12">SUM(S10:S19)</f>
        <v>0</v>
      </c>
      <c r="T20" s="779">
        <f t="shared" ref="T20" si="13">SUM(T10:T19)</f>
        <v>0</v>
      </c>
      <c r="U20" s="779">
        <f t="shared" ref="U20" si="14">SUM(U10:U19)</f>
        <v>0</v>
      </c>
      <c r="V20" s="779">
        <f t="shared" ref="V20:W20" si="15">SUM(V10:V19)</f>
        <v>0</v>
      </c>
      <c r="W20" s="805">
        <f t="shared" si="15"/>
        <v>0</v>
      </c>
      <c r="X20" s="806">
        <f t="shared" si="1"/>
        <v>0</v>
      </c>
      <c r="Y20" s="784">
        <f t="shared" ref="Y20" si="16">SUM(Y10:Y19)</f>
        <v>0</v>
      </c>
      <c r="Z20" s="784">
        <f t="shared" ref="Z20" si="17">SUM(Z10:Z19)</f>
        <v>0</v>
      </c>
      <c r="AA20" s="784">
        <f t="shared" ref="AA20" si="18">SUM(AA10:AA19)</f>
        <v>0</v>
      </c>
      <c r="AB20" s="782">
        <f t="shared" ref="AB20" si="19">SUM(AB10:AB19)</f>
        <v>0</v>
      </c>
      <c r="AC20" s="785">
        <f t="shared" ref="AC20" si="20">SUM(AC10:AC19)</f>
        <v>0</v>
      </c>
      <c r="AD20" s="368"/>
      <c r="AE20" s="365"/>
      <c r="AF20" s="808">
        <f t="shared" ref="AF20" si="21">SUM(AF10:AF19)</f>
        <v>0</v>
      </c>
      <c r="AG20" s="805">
        <f t="shared" ref="AG20" si="22">SUM(AG10:AG19)</f>
        <v>0</v>
      </c>
      <c r="AH20" s="809">
        <f t="shared" ref="AH20" si="23">SUM(AH10:AH19)</f>
        <v>0</v>
      </c>
      <c r="AI20" s="787">
        <f t="shared" si="6"/>
        <v>0</v>
      </c>
      <c r="AJ20" s="36"/>
      <c r="AK20" s="141"/>
      <c r="AM20" s="11"/>
      <c r="AN20" s="11"/>
      <c r="AO20" s="11"/>
      <c r="AP20" s="11"/>
      <c r="AQ20" s="163"/>
      <c r="AR20" s="163"/>
      <c r="AW20" s="36"/>
      <c r="AX20" s="95"/>
      <c r="AY20" s="66"/>
      <c r="AZ20" s="66"/>
      <c r="BA20" s="66"/>
      <c r="BB20" s="11"/>
    </row>
    <row r="21" spans="2:54" s="1" customFormat="1" ht="15" thickBot="1" x14ac:dyDescent="0.35">
      <c r="B21" s="9"/>
      <c r="C21" s="21"/>
      <c r="D21" s="21"/>
      <c r="E21" s="21"/>
      <c r="F21" s="21"/>
      <c r="G21" s="21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21"/>
      <c r="AG21" s="21"/>
      <c r="AK21" s="141"/>
      <c r="AN21" s="38"/>
      <c r="AO21" s="145"/>
      <c r="AP21" s="66"/>
      <c r="AQ21" s="163"/>
      <c r="AR21" s="163"/>
      <c r="AS21" s="21"/>
    </row>
    <row r="22" spans="2:54" s="1" customFormat="1" ht="30" customHeight="1" thickBot="1" x14ac:dyDescent="0.35">
      <c r="B22" s="9"/>
      <c r="C22" s="972" t="s">
        <v>212</v>
      </c>
      <c r="D22" s="973"/>
      <c r="E22" s="775">
        <f>AF20+AG20</f>
        <v>0</v>
      </c>
      <c r="F22" s="21"/>
      <c r="G22" s="21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21"/>
      <c r="AG22" s="21"/>
      <c r="AH22" s="21"/>
      <c r="AK22" s="100"/>
      <c r="AO22" s="38"/>
      <c r="AP22" s="145"/>
      <c r="AQ22" s="163"/>
      <c r="AR22" s="163"/>
      <c r="AS22" s="66"/>
      <c r="AT22" s="21"/>
    </row>
    <row r="23" spans="2:54" ht="30" customHeight="1" thickBot="1" x14ac:dyDescent="0.35">
      <c r="B23" s="15"/>
      <c r="C23" s="972" t="s">
        <v>140</v>
      </c>
      <c r="D23" s="973"/>
      <c r="E23" s="775">
        <f>AH20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60"/>
      <c r="Z23" s="11"/>
      <c r="AA23" s="11"/>
      <c r="AB23" s="11"/>
      <c r="AC23" s="11"/>
      <c r="AD23" s="11"/>
      <c r="AE23" s="11"/>
      <c r="AF23" s="11"/>
      <c r="AG23" s="11"/>
      <c r="AH23" s="11"/>
      <c r="AK23" s="12"/>
      <c r="AO23" s="11"/>
      <c r="AP23" s="95"/>
      <c r="AQ23" s="163"/>
      <c r="AR23" s="163"/>
      <c r="AS23" s="66"/>
      <c r="AT23" s="11"/>
    </row>
    <row r="24" spans="2:54" x14ac:dyDescent="0.3">
      <c r="B24" s="15"/>
      <c r="C24" s="2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66"/>
      <c r="AJ24" s="76"/>
      <c r="AK24" s="62"/>
      <c r="AO24" s="11"/>
      <c r="AP24" s="95"/>
      <c r="AQ24" s="163"/>
      <c r="AR24" s="163"/>
      <c r="AS24" s="66"/>
      <c r="AT24" s="11"/>
    </row>
    <row r="25" spans="2:54" ht="15" thickBot="1" x14ac:dyDescent="0.35">
      <c r="B25" s="15"/>
      <c r="C25" s="2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66"/>
      <c r="AJ25" s="76"/>
      <c r="AK25" s="62"/>
      <c r="AO25" s="11"/>
      <c r="AP25" s="95"/>
      <c r="AQ25" s="163"/>
      <c r="AR25" s="163"/>
      <c r="AS25" s="66"/>
      <c r="AT25" s="11"/>
    </row>
    <row r="26" spans="2:54" ht="56.25" customHeight="1" thickBot="1" x14ac:dyDescent="0.35">
      <c r="B26" s="15"/>
      <c r="C26" s="101" t="s">
        <v>51</v>
      </c>
      <c r="D26" s="102"/>
      <c r="E26" s="102"/>
      <c r="F26" s="102"/>
      <c r="G26" s="102"/>
      <c r="H26" s="102"/>
      <c r="I26" s="974" t="s">
        <v>205</v>
      </c>
      <c r="J26" s="975"/>
      <c r="K26" s="976"/>
      <c r="L26" s="976"/>
      <c r="M26" s="976"/>
      <c r="N26" s="976"/>
      <c r="O26" s="976"/>
      <c r="P26" s="976"/>
      <c r="Q26" s="976"/>
      <c r="R26" s="976"/>
      <c r="S26" s="976"/>
      <c r="T26" s="976"/>
      <c r="U26" s="976"/>
      <c r="V26" s="976"/>
      <c r="W26" s="976"/>
      <c r="X26" s="976"/>
      <c r="Y26" s="976"/>
      <c r="Z26" s="976"/>
      <c r="AA26" s="976"/>
      <c r="AB26" s="976"/>
      <c r="AC26" s="976"/>
      <c r="AD26" s="976"/>
      <c r="AE26" s="976"/>
      <c r="AF26" s="976"/>
      <c r="AG26" s="976"/>
      <c r="AH26" s="977"/>
      <c r="AJ26" s="76"/>
      <c r="AK26" s="62"/>
      <c r="AO26" s="11"/>
      <c r="AP26" s="95"/>
      <c r="AQ26" s="163"/>
      <c r="AR26" s="163"/>
      <c r="AS26" s="66"/>
      <c r="AT26" s="11"/>
    </row>
    <row r="27" spans="2:54" ht="15" thickBot="1" x14ac:dyDescent="0.35">
      <c r="B27" s="15"/>
      <c r="C27" s="103"/>
      <c r="D27" s="104"/>
      <c r="E27" s="104"/>
      <c r="F27" s="104"/>
      <c r="G27" s="105"/>
      <c r="H27" s="104"/>
      <c r="I27" s="993" t="s">
        <v>25</v>
      </c>
      <c r="J27" s="994"/>
      <c r="K27" s="994"/>
      <c r="L27" s="994"/>
      <c r="M27" s="994"/>
      <c r="N27" s="994"/>
      <c r="O27" s="994"/>
      <c r="P27" s="994"/>
      <c r="Q27" s="994"/>
      <c r="R27" s="994"/>
      <c r="S27" s="994"/>
      <c r="T27" s="994"/>
      <c r="U27" s="994"/>
      <c r="V27" s="994"/>
      <c r="W27" s="994"/>
      <c r="X27" s="994"/>
      <c r="Y27" s="994"/>
      <c r="Z27" s="994"/>
      <c r="AA27" s="994"/>
      <c r="AB27" s="994"/>
      <c r="AC27" s="994"/>
      <c r="AD27" s="994"/>
      <c r="AE27" s="994"/>
      <c r="AF27" s="994"/>
      <c r="AG27" s="994"/>
      <c r="AH27" s="106"/>
      <c r="AJ27" s="76"/>
      <c r="AK27" s="62"/>
      <c r="AO27" s="11"/>
      <c r="AP27" s="11"/>
      <c r="AQ27" s="163"/>
      <c r="AR27" s="163"/>
      <c r="AS27" s="66"/>
      <c r="AT27" s="11"/>
    </row>
    <row r="28" spans="2:54" ht="28.5" customHeight="1" thickBot="1" x14ac:dyDescent="0.35">
      <c r="B28" s="15"/>
      <c r="C28" s="107" t="s">
        <v>52</v>
      </c>
      <c r="D28" s="108" t="s">
        <v>185</v>
      </c>
      <c r="E28" s="108" t="s">
        <v>184</v>
      </c>
      <c r="F28" s="108" t="s">
        <v>190</v>
      </c>
      <c r="G28" s="971" t="s">
        <v>121</v>
      </c>
      <c r="H28" s="971"/>
      <c r="I28" s="109">
        <v>1</v>
      </c>
      <c r="J28" s="109">
        <v>2</v>
      </c>
      <c r="K28" s="109">
        <v>3</v>
      </c>
      <c r="L28" s="109">
        <v>4</v>
      </c>
      <c r="M28" s="109">
        <v>5</v>
      </c>
      <c r="N28" s="109">
        <v>6</v>
      </c>
      <c r="O28" s="109">
        <v>7</v>
      </c>
      <c r="P28" s="109">
        <v>8</v>
      </c>
      <c r="Q28" s="109">
        <v>9</v>
      </c>
      <c r="R28" s="109">
        <v>10</v>
      </c>
      <c r="S28" s="109">
        <v>11</v>
      </c>
      <c r="T28" s="109">
        <v>12</v>
      </c>
      <c r="U28" s="109">
        <v>13</v>
      </c>
      <c r="V28" s="109">
        <v>14</v>
      </c>
      <c r="W28" s="109">
        <v>15</v>
      </c>
      <c r="X28" s="109">
        <v>16</v>
      </c>
      <c r="Y28" s="109">
        <v>17</v>
      </c>
      <c r="Z28" s="109">
        <v>18</v>
      </c>
      <c r="AA28" s="109">
        <v>19</v>
      </c>
      <c r="AB28" s="109">
        <v>20</v>
      </c>
      <c r="AC28" s="109">
        <v>21</v>
      </c>
      <c r="AD28" s="109">
        <v>22</v>
      </c>
      <c r="AE28" s="109">
        <v>23</v>
      </c>
      <c r="AF28" s="109">
        <v>24</v>
      </c>
      <c r="AG28" s="109">
        <v>25</v>
      </c>
      <c r="AH28" s="110" t="s">
        <v>53</v>
      </c>
      <c r="AJ28" s="76"/>
      <c r="AK28" s="62"/>
      <c r="AO28" s="11"/>
      <c r="AP28" s="11"/>
      <c r="AQ28" s="163"/>
      <c r="AR28" s="163"/>
      <c r="AS28" s="11"/>
      <c r="AT28" s="11"/>
    </row>
    <row r="29" spans="2:54" ht="15" thickBot="1" x14ac:dyDescent="0.35">
      <c r="B29" s="15"/>
      <c r="C29" s="111">
        <f>C10</f>
        <v>1</v>
      </c>
      <c r="D29" s="112">
        <f t="shared" ref="D29:D38" si="24">W10</f>
        <v>0</v>
      </c>
      <c r="E29" s="112">
        <f t="shared" ref="E29:E38" si="25">AB10</f>
        <v>0</v>
      </c>
      <c r="F29" s="112">
        <f t="shared" ref="F29:F38" si="26">AC10</f>
        <v>0</v>
      </c>
      <c r="G29" s="112">
        <f>IF(D29="",0,D29-E29)</f>
        <v>0</v>
      </c>
      <c r="H29" s="113"/>
      <c r="I29" s="114">
        <f t="shared" ref="I29:I38" si="27">IF($H10&gt;=25,$G29,IF(I$28&lt;=$H10,$G29,IF(I$28&lt;=($H10*($AD10+1)),$G29,0)))-IF($H10="",0,IF(I$28-1&lt;=($H10*$AD10),$F29,0))*IF(OR($AE10=0,$AE10&gt;25),0,IF(MOD(I$28,$H10)=0,1,0))</f>
        <v>0</v>
      </c>
      <c r="J29" s="114">
        <f t="shared" ref="J29:AG29" si="28">IF($H10&gt;=25,$G29,IF(J$28&lt;=$H10,$G29,IF(J$28&lt;=($H10*($AD10+1)),$G29,0)))-IF($H10="",0,IF(J$28-1&lt;=($H10*$AD10),$F29,0))*IF(OR($AE10=0,$AE10&gt;25),0,IF(MOD(J$28-1,$H10)=0,1,0))</f>
        <v>0</v>
      </c>
      <c r="K29" s="114">
        <f t="shared" si="28"/>
        <v>0</v>
      </c>
      <c r="L29" s="114">
        <f t="shared" si="28"/>
        <v>0</v>
      </c>
      <c r="M29" s="114">
        <f t="shared" si="28"/>
        <v>0</v>
      </c>
      <c r="N29" s="114">
        <f t="shared" si="28"/>
        <v>0</v>
      </c>
      <c r="O29" s="114">
        <f t="shared" si="28"/>
        <v>0</v>
      </c>
      <c r="P29" s="114">
        <f t="shared" si="28"/>
        <v>0</v>
      </c>
      <c r="Q29" s="114">
        <f t="shared" si="28"/>
        <v>0</v>
      </c>
      <c r="R29" s="114">
        <f t="shared" si="28"/>
        <v>0</v>
      </c>
      <c r="S29" s="114">
        <f t="shared" si="28"/>
        <v>0</v>
      </c>
      <c r="T29" s="114">
        <f t="shared" si="28"/>
        <v>0</v>
      </c>
      <c r="U29" s="114">
        <f t="shared" si="28"/>
        <v>0</v>
      </c>
      <c r="V29" s="114">
        <f t="shared" si="28"/>
        <v>0</v>
      </c>
      <c r="W29" s="114">
        <f t="shared" si="28"/>
        <v>0</v>
      </c>
      <c r="X29" s="114">
        <f t="shared" si="28"/>
        <v>0</v>
      </c>
      <c r="Y29" s="114">
        <f t="shared" si="28"/>
        <v>0</v>
      </c>
      <c r="Z29" s="114">
        <f t="shared" si="28"/>
        <v>0</v>
      </c>
      <c r="AA29" s="114">
        <f t="shared" si="28"/>
        <v>0</v>
      </c>
      <c r="AB29" s="114">
        <f t="shared" si="28"/>
        <v>0</v>
      </c>
      <c r="AC29" s="114">
        <f t="shared" si="28"/>
        <v>0</v>
      </c>
      <c r="AD29" s="114">
        <f t="shared" si="28"/>
        <v>0</v>
      </c>
      <c r="AE29" s="114">
        <f t="shared" si="28"/>
        <v>0</v>
      </c>
      <c r="AF29" s="114">
        <f t="shared" si="28"/>
        <v>0</v>
      </c>
      <c r="AG29" s="114">
        <f t="shared" si="28"/>
        <v>0</v>
      </c>
      <c r="AH29" s="115">
        <f t="shared" ref="AH29:AH38" si="29">SUM(I29:AG29)</f>
        <v>0</v>
      </c>
      <c r="AJ29" s="76"/>
      <c r="AK29" s="62"/>
      <c r="AQ29" s="163"/>
      <c r="AR29" s="163"/>
    </row>
    <row r="30" spans="2:54" ht="15" thickBot="1" x14ac:dyDescent="0.35">
      <c r="B30" s="15"/>
      <c r="C30" s="111">
        <f>C11</f>
        <v>2</v>
      </c>
      <c r="D30" s="112">
        <f t="shared" si="24"/>
        <v>0</v>
      </c>
      <c r="E30" s="112">
        <f t="shared" si="25"/>
        <v>0</v>
      </c>
      <c r="F30" s="112">
        <f t="shared" si="26"/>
        <v>0</v>
      </c>
      <c r="G30" s="112">
        <f t="shared" ref="G30:G38" si="30">IF(D30="",0,D30-E30)</f>
        <v>0</v>
      </c>
      <c r="H30" s="116"/>
      <c r="I30" s="114">
        <f t="shared" si="27"/>
        <v>0</v>
      </c>
      <c r="J30" s="114">
        <f t="shared" ref="J30:AG30" si="31">IF($H11&gt;=25,$G30,IF(J$28&lt;=$H11,$G30,IF(J$28&lt;=($H11*($AD11+1)),$G30,0)))-IF($H11="",0,IF(J$28-1&lt;=($H11*$AD11),$F30,0))*IF(OR($AE11=0,$AE11&gt;25),0,IF(MOD(J$28-1,$H11)=0,1,0))</f>
        <v>0</v>
      </c>
      <c r="K30" s="114">
        <f t="shared" si="31"/>
        <v>0</v>
      </c>
      <c r="L30" s="114">
        <f t="shared" si="31"/>
        <v>0</v>
      </c>
      <c r="M30" s="114">
        <f t="shared" si="31"/>
        <v>0</v>
      </c>
      <c r="N30" s="114">
        <f t="shared" si="31"/>
        <v>0</v>
      </c>
      <c r="O30" s="114">
        <f t="shared" si="31"/>
        <v>0</v>
      </c>
      <c r="P30" s="114">
        <f t="shared" si="31"/>
        <v>0</v>
      </c>
      <c r="Q30" s="114">
        <f t="shared" si="31"/>
        <v>0</v>
      </c>
      <c r="R30" s="114">
        <f t="shared" si="31"/>
        <v>0</v>
      </c>
      <c r="S30" s="114">
        <f t="shared" si="31"/>
        <v>0</v>
      </c>
      <c r="T30" s="114">
        <f t="shared" si="31"/>
        <v>0</v>
      </c>
      <c r="U30" s="114">
        <f t="shared" si="31"/>
        <v>0</v>
      </c>
      <c r="V30" s="114">
        <f t="shared" si="31"/>
        <v>0</v>
      </c>
      <c r="W30" s="114">
        <f t="shared" si="31"/>
        <v>0</v>
      </c>
      <c r="X30" s="114">
        <f t="shared" si="31"/>
        <v>0</v>
      </c>
      <c r="Y30" s="114">
        <f t="shared" si="31"/>
        <v>0</v>
      </c>
      <c r="Z30" s="114">
        <f t="shared" si="31"/>
        <v>0</v>
      </c>
      <c r="AA30" s="114">
        <f t="shared" si="31"/>
        <v>0</v>
      </c>
      <c r="AB30" s="114">
        <f t="shared" si="31"/>
        <v>0</v>
      </c>
      <c r="AC30" s="114">
        <f t="shared" si="31"/>
        <v>0</v>
      </c>
      <c r="AD30" s="114">
        <f t="shared" si="31"/>
        <v>0</v>
      </c>
      <c r="AE30" s="114">
        <f t="shared" si="31"/>
        <v>0</v>
      </c>
      <c r="AF30" s="114">
        <f t="shared" si="31"/>
        <v>0</v>
      </c>
      <c r="AG30" s="114">
        <f t="shared" si="31"/>
        <v>0</v>
      </c>
      <c r="AH30" s="115">
        <f t="shared" si="29"/>
        <v>0</v>
      </c>
      <c r="AJ30" s="76"/>
      <c r="AK30" s="62"/>
      <c r="AQ30" s="163"/>
      <c r="AR30" s="163"/>
    </row>
    <row r="31" spans="2:54" ht="15" thickBot="1" x14ac:dyDescent="0.35">
      <c r="B31" s="15"/>
      <c r="C31" s="111">
        <f>C12</f>
        <v>3</v>
      </c>
      <c r="D31" s="112">
        <f t="shared" si="24"/>
        <v>0</v>
      </c>
      <c r="E31" s="112">
        <f t="shared" si="25"/>
        <v>0</v>
      </c>
      <c r="F31" s="112">
        <f t="shared" si="26"/>
        <v>0</v>
      </c>
      <c r="G31" s="112">
        <f t="shared" si="30"/>
        <v>0</v>
      </c>
      <c r="H31" s="116"/>
      <c r="I31" s="114">
        <f t="shared" si="27"/>
        <v>0</v>
      </c>
      <c r="J31" s="114">
        <f t="shared" ref="J31:AG31" si="32">IF($H12&gt;=25,$G31,IF(J$28&lt;=$H12,$G31,IF(J$28&lt;=($H12*($AD12+1)),$G31,0)))-IF($H12="",0,IF(J$28-1&lt;=($H12*$AD12),$F31,0))*IF(OR($AE12=0,$AE12&gt;25),0,IF(MOD(J$28-1,$H12)=0,1,0))</f>
        <v>0</v>
      </c>
      <c r="K31" s="114">
        <f t="shared" si="32"/>
        <v>0</v>
      </c>
      <c r="L31" s="114">
        <f t="shared" si="32"/>
        <v>0</v>
      </c>
      <c r="M31" s="114">
        <f t="shared" si="32"/>
        <v>0</v>
      </c>
      <c r="N31" s="114">
        <f t="shared" si="32"/>
        <v>0</v>
      </c>
      <c r="O31" s="114">
        <f t="shared" si="32"/>
        <v>0</v>
      </c>
      <c r="P31" s="114">
        <f t="shared" si="32"/>
        <v>0</v>
      </c>
      <c r="Q31" s="114">
        <f t="shared" si="32"/>
        <v>0</v>
      </c>
      <c r="R31" s="114">
        <f t="shared" si="32"/>
        <v>0</v>
      </c>
      <c r="S31" s="114">
        <f t="shared" si="32"/>
        <v>0</v>
      </c>
      <c r="T31" s="114">
        <f t="shared" si="32"/>
        <v>0</v>
      </c>
      <c r="U31" s="114">
        <f t="shared" si="32"/>
        <v>0</v>
      </c>
      <c r="V31" s="114">
        <f t="shared" si="32"/>
        <v>0</v>
      </c>
      <c r="W31" s="114">
        <f t="shared" si="32"/>
        <v>0</v>
      </c>
      <c r="X31" s="114">
        <f t="shared" si="32"/>
        <v>0</v>
      </c>
      <c r="Y31" s="114">
        <f t="shared" si="32"/>
        <v>0</v>
      </c>
      <c r="Z31" s="114">
        <f t="shared" si="32"/>
        <v>0</v>
      </c>
      <c r="AA31" s="114">
        <f t="shared" si="32"/>
        <v>0</v>
      </c>
      <c r="AB31" s="114">
        <f t="shared" si="32"/>
        <v>0</v>
      </c>
      <c r="AC31" s="114">
        <f t="shared" si="32"/>
        <v>0</v>
      </c>
      <c r="AD31" s="114">
        <f t="shared" si="32"/>
        <v>0</v>
      </c>
      <c r="AE31" s="114">
        <f t="shared" si="32"/>
        <v>0</v>
      </c>
      <c r="AF31" s="114">
        <f t="shared" si="32"/>
        <v>0</v>
      </c>
      <c r="AG31" s="114">
        <f t="shared" si="32"/>
        <v>0</v>
      </c>
      <c r="AH31" s="115">
        <f t="shared" si="29"/>
        <v>0</v>
      </c>
      <c r="AJ31" s="76"/>
      <c r="AK31" s="62"/>
      <c r="AQ31" s="163"/>
      <c r="AR31" s="163"/>
    </row>
    <row r="32" spans="2:54" ht="15" thickBot="1" x14ac:dyDescent="0.35">
      <c r="B32" s="15"/>
      <c r="C32" s="111">
        <f>C13</f>
        <v>4</v>
      </c>
      <c r="D32" s="112">
        <f t="shared" si="24"/>
        <v>0</v>
      </c>
      <c r="E32" s="112">
        <f t="shared" si="25"/>
        <v>0</v>
      </c>
      <c r="F32" s="112">
        <f t="shared" si="26"/>
        <v>0</v>
      </c>
      <c r="G32" s="112">
        <f t="shared" si="30"/>
        <v>0</v>
      </c>
      <c r="H32" s="116"/>
      <c r="I32" s="114">
        <f t="shared" si="27"/>
        <v>0</v>
      </c>
      <c r="J32" s="114">
        <f t="shared" ref="J32:AG32" si="33">IF($H13&gt;=25,$G32,IF(J$28&lt;=$H13,$G32,IF(J$28&lt;=($H13*($AD13+1)),$G32,0)))-IF($H13="",0,IF(J$28-1&lt;=($H13*$AD13),$F32,0))*IF(OR($AE13=0,$AE13&gt;25),0,IF(MOD(J$28-1,$H13)=0,1,0))</f>
        <v>0</v>
      </c>
      <c r="K32" s="114">
        <f t="shared" si="33"/>
        <v>0</v>
      </c>
      <c r="L32" s="114">
        <f t="shared" si="33"/>
        <v>0</v>
      </c>
      <c r="M32" s="114">
        <f t="shared" si="33"/>
        <v>0</v>
      </c>
      <c r="N32" s="114">
        <f t="shared" si="33"/>
        <v>0</v>
      </c>
      <c r="O32" s="114">
        <f t="shared" si="33"/>
        <v>0</v>
      </c>
      <c r="P32" s="114">
        <f t="shared" si="33"/>
        <v>0</v>
      </c>
      <c r="Q32" s="114">
        <f t="shared" si="33"/>
        <v>0</v>
      </c>
      <c r="R32" s="114">
        <f t="shared" si="33"/>
        <v>0</v>
      </c>
      <c r="S32" s="114">
        <f t="shared" si="33"/>
        <v>0</v>
      </c>
      <c r="T32" s="114">
        <f t="shared" si="33"/>
        <v>0</v>
      </c>
      <c r="U32" s="114">
        <f t="shared" si="33"/>
        <v>0</v>
      </c>
      <c r="V32" s="114">
        <f t="shared" si="33"/>
        <v>0</v>
      </c>
      <c r="W32" s="114">
        <f t="shared" si="33"/>
        <v>0</v>
      </c>
      <c r="X32" s="114">
        <f t="shared" si="33"/>
        <v>0</v>
      </c>
      <c r="Y32" s="114">
        <f t="shared" si="33"/>
        <v>0</v>
      </c>
      <c r="Z32" s="114">
        <f t="shared" si="33"/>
        <v>0</v>
      </c>
      <c r="AA32" s="114">
        <f t="shared" si="33"/>
        <v>0</v>
      </c>
      <c r="AB32" s="114">
        <f t="shared" si="33"/>
        <v>0</v>
      </c>
      <c r="AC32" s="114">
        <f t="shared" si="33"/>
        <v>0</v>
      </c>
      <c r="AD32" s="114">
        <f t="shared" si="33"/>
        <v>0</v>
      </c>
      <c r="AE32" s="114">
        <f t="shared" si="33"/>
        <v>0</v>
      </c>
      <c r="AF32" s="114">
        <f t="shared" si="33"/>
        <v>0</v>
      </c>
      <c r="AG32" s="114">
        <f t="shared" si="33"/>
        <v>0</v>
      </c>
      <c r="AH32" s="115">
        <f t="shared" si="29"/>
        <v>0</v>
      </c>
      <c r="AJ32" s="76"/>
      <c r="AK32" s="62"/>
      <c r="AQ32" s="163"/>
      <c r="AR32" s="163"/>
    </row>
    <row r="33" spans="2:44" ht="15" thickBot="1" x14ac:dyDescent="0.35">
      <c r="B33" s="15"/>
      <c r="C33" s="111">
        <f>C14</f>
        <v>5</v>
      </c>
      <c r="D33" s="112">
        <f t="shared" si="24"/>
        <v>0</v>
      </c>
      <c r="E33" s="112">
        <f t="shared" si="25"/>
        <v>0</v>
      </c>
      <c r="F33" s="112">
        <f t="shared" si="26"/>
        <v>0</v>
      </c>
      <c r="G33" s="112">
        <f t="shared" si="30"/>
        <v>0</v>
      </c>
      <c r="H33" s="116"/>
      <c r="I33" s="114">
        <f t="shared" si="27"/>
        <v>0</v>
      </c>
      <c r="J33" s="114">
        <f t="shared" ref="J33:AG33" si="34">IF($H14&gt;=25,$G33,IF(J$28&lt;=$H14,$G33,IF(J$28&lt;=($H14*($AD14+1)),$G33,0)))-IF($H14="",0,IF(J$28-1&lt;=($H14*$AD14),$F33,0))*IF(OR($AE14=0,$AE14&gt;25),0,IF(MOD(J$28-1,$H14)=0,1,0))</f>
        <v>0</v>
      </c>
      <c r="K33" s="114">
        <f t="shared" si="34"/>
        <v>0</v>
      </c>
      <c r="L33" s="114">
        <f t="shared" si="34"/>
        <v>0</v>
      </c>
      <c r="M33" s="114">
        <f t="shared" si="34"/>
        <v>0</v>
      </c>
      <c r="N33" s="114">
        <f t="shared" si="34"/>
        <v>0</v>
      </c>
      <c r="O33" s="114">
        <f t="shared" si="34"/>
        <v>0</v>
      </c>
      <c r="P33" s="114">
        <f t="shared" si="34"/>
        <v>0</v>
      </c>
      <c r="Q33" s="114">
        <f t="shared" si="34"/>
        <v>0</v>
      </c>
      <c r="R33" s="114">
        <f t="shared" si="34"/>
        <v>0</v>
      </c>
      <c r="S33" s="114">
        <f t="shared" si="34"/>
        <v>0</v>
      </c>
      <c r="T33" s="114">
        <f t="shared" si="34"/>
        <v>0</v>
      </c>
      <c r="U33" s="114">
        <f t="shared" si="34"/>
        <v>0</v>
      </c>
      <c r="V33" s="114">
        <f t="shared" si="34"/>
        <v>0</v>
      </c>
      <c r="W33" s="114">
        <f t="shared" si="34"/>
        <v>0</v>
      </c>
      <c r="X33" s="114">
        <f t="shared" si="34"/>
        <v>0</v>
      </c>
      <c r="Y33" s="114">
        <f t="shared" si="34"/>
        <v>0</v>
      </c>
      <c r="Z33" s="114">
        <f t="shared" si="34"/>
        <v>0</v>
      </c>
      <c r="AA33" s="114">
        <f t="shared" si="34"/>
        <v>0</v>
      </c>
      <c r="AB33" s="114">
        <f t="shared" si="34"/>
        <v>0</v>
      </c>
      <c r="AC33" s="114">
        <f t="shared" si="34"/>
        <v>0</v>
      </c>
      <c r="AD33" s="114">
        <f t="shared" si="34"/>
        <v>0</v>
      </c>
      <c r="AE33" s="114">
        <f t="shared" si="34"/>
        <v>0</v>
      </c>
      <c r="AF33" s="114">
        <f t="shared" si="34"/>
        <v>0</v>
      </c>
      <c r="AG33" s="114">
        <f t="shared" si="34"/>
        <v>0</v>
      </c>
      <c r="AH33" s="115">
        <f t="shared" si="29"/>
        <v>0</v>
      </c>
      <c r="AJ33" s="76"/>
      <c r="AK33" s="62"/>
      <c r="AQ33" s="163"/>
      <c r="AR33" s="163"/>
    </row>
    <row r="34" spans="2:44" ht="15" thickBot="1" x14ac:dyDescent="0.35">
      <c r="B34" s="15"/>
      <c r="C34" s="111">
        <f t="shared" ref="C34:C38" si="35">C15</f>
        <v>6</v>
      </c>
      <c r="D34" s="112">
        <f t="shared" si="24"/>
        <v>0</v>
      </c>
      <c r="E34" s="112">
        <f t="shared" si="25"/>
        <v>0</v>
      </c>
      <c r="F34" s="112">
        <f t="shared" si="26"/>
        <v>0</v>
      </c>
      <c r="G34" s="112">
        <f t="shared" si="30"/>
        <v>0</v>
      </c>
      <c r="H34" s="118"/>
      <c r="I34" s="114">
        <f t="shared" si="27"/>
        <v>0</v>
      </c>
      <c r="J34" s="114">
        <f t="shared" ref="J34:AG34" si="36">IF($H15&gt;=25,$G34,IF(J$28&lt;=$H15,$G34,IF(J$28&lt;=($H15*($AD15+1)),$G34,0)))-IF($H15="",0,IF(J$28-1&lt;=($H15*$AD15),$F34,0))*IF(OR($AE15=0,$AE15&gt;25),0,IF(MOD(J$28-1,$H15)=0,1,0))</f>
        <v>0</v>
      </c>
      <c r="K34" s="114">
        <f t="shared" si="36"/>
        <v>0</v>
      </c>
      <c r="L34" s="114">
        <f t="shared" si="36"/>
        <v>0</v>
      </c>
      <c r="M34" s="114">
        <f t="shared" si="36"/>
        <v>0</v>
      </c>
      <c r="N34" s="114">
        <f t="shared" si="36"/>
        <v>0</v>
      </c>
      <c r="O34" s="114">
        <f t="shared" si="36"/>
        <v>0</v>
      </c>
      <c r="P34" s="114">
        <f t="shared" si="36"/>
        <v>0</v>
      </c>
      <c r="Q34" s="114">
        <f t="shared" si="36"/>
        <v>0</v>
      </c>
      <c r="R34" s="114">
        <f t="shared" si="36"/>
        <v>0</v>
      </c>
      <c r="S34" s="114">
        <f t="shared" si="36"/>
        <v>0</v>
      </c>
      <c r="T34" s="114">
        <f t="shared" si="36"/>
        <v>0</v>
      </c>
      <c r="U34" s="114">
        <f t="shared" si="36"/>
        <v>0</v>
      </c>
      <c r="V34" s="114">
        <f t="shared" si="36"/>
        <v>0</v>
      </c>
      <c r="W34" s="114">
        <f t="shared" si="36"/>
        <v>0</v>
      </c>
      <c r="X34" s="114">
        <f t="shared" si="36"/>
        <v>0</v>
      </c>
      <c r="Y34" s="114">
        <f t="shared" si="36"/>
        <v>0</v>
      </c>
      <c r="Z34" s="114">
        <f t="shared" si="36"/>
        <v>0</v>
      </c>
      <c r="AA34" s="114">
        <f t="shared" si="36"/>
        <v>0</v>
      </c>
      <c r="AB34" s="114">
        <f t="shared" si="36"/>
        <v>0</v>
      </c>
      <c r="AC34" s="114">
        <f t="shared" si="36"/>
        <v>0</v>
      </c>
      <c r="AD34" s="114">
        <f t="shared" si="36"/>
        <v>0</v>
      </c>
      <c r="AE34" s="114">
        <f t="shared" si="36"/>
        <v>0</v>
      </c>
      <c r="AF34" s="114">
        <f t="shared" si="36"/>
        <v>0</v>
      </c>
      <c r="AG34" s="114">
        <f t="shared" si="36"/>
        <v>0</v>
      </c>
      <c r="AH34" s="115">
        <f t="shared" si="29"/>
        <v>0</v>
      </c>
      <c r="AJ34" s="76"/>
      <c r="AK34" s="62"/>
      <c r="AQ34" s="163"/>
      <c r="AR34" s="163"/>
    </row>
    <row r="35" spans="2:44" ht="15" thickBot="1" x14ac:dyDescent="0.35">
      <c r="B35" s="15"/>
      <c r="C35" s="111">
        <f t="shared" si="35"/>
        <v>7</v>
      </c>
      <c r="D35" s="112">
        <f t="shared" si="24"/>
        <v>0</v>
      </c>
      <c r="E35" s="112">
        <f t="shared" si="25"/>
        <v>0</v>
      </c>
      <c r="F35" s="112">
        <f t="shared" si="26"/>
        <v>0</v>
      </c>
      <c r="G35" s="112">
        <f t="shared" si="30"/>
        <v>0</v>
      </c>
      <c r="H35" s="118"/>
      <c r="I35" s="114">
        <f t="shared" si="27"/>
        <v>0</v>
      </c>
      <c r="J35" s="114">
        <f t="shared" ref="J35:AG35" si="37">IF($H16&gt;=25,$G35,IF(J$28&lt;=$H16,$G35,IF(J$28&lt;=($H16*($AD16+1)),$G35,0)))-IF($H16="",0,IF(J$28-1&lt;=($H16*$AD16),$F35,0))*IF(OR($AE16=0,$AE16&gt;25),0,IF(MOD(J$28-1,$H16)=0,1,0))</f>
        <v>0</v>
      </c>
      <c r="K35" s="114">
        <f t="shared" si="37"/>
        <v>0</v>
      </c>
      <c r="L35" s="114">
        <f t="shared" si="37"/>
        <v>0</v>
      </c>
      <c r="M35" s="114">
        <f t="shared" si="37"/>
        <v>0</v>
      </c>
      <c r="N35" s="114">
        <f t="shared" si="37"/>
        <v>0</v>
      </c>
      <c r="O35" s="114">
        <f t="shared" si="37"/>
        <v>0</v>
      </c>
      <c r="P35" s="114">
        <f t="shared" si="37"/>
        <v>0</v>
      </c>
      <c r="Q35" s="114">
        <f t="shared" si="37"/>
        <v>0</v>
      </c>
      <c r="R35" s="114">
        <f t="shared" si="37"/>
        <v>0</v>
      </c>
      <c r="S35" s="114">
        <f t="shared" si="37"/>
        <v>0</v>
      </c>
      <c r="T35" s="114">
        <f t="shared" si="37"/>
        <v>0</v>
      </c>
      <c r="U35" s="114">
        <f t="shared" si="37"/>
        <v>0</v>
      </c>
      <c r="V35" s="114">
        <f t="shared" si="37"/>
        <v>0</v>
      </c>
      <c r="W35" s="114">
        <f t="shared" si="37"/>
        <v>0</v>
      </c>
      <c r="X35" s="114">
        <f t="shared" si="37"/>
        <v>0</v>
      </c>
      <c r="Y35" s="114">
        <f t="shared" si="37"/>
        <v>0</v>
      </c>
      <c r="Z35" s="114">
        <f t="shared" si="37"/>
        <v>0</v>
      </c>
      <c r="AA35" s="114">
        <f t="shared" si="37"/>
        <v>0</v>
      </c>
      <c r="AB35" s="114">
        <f t="shared" si="37"/>
        <v>0</v>
      </c>
      <c r="AC35" s="114">
        <f t="shared" si="37"/>
        <v>0</v>
      </c>
      <c r="AD35" s="114">
        <f t="shared" si="37"/>
        <v>0</v>
      </c>
      <c r="AE35" s="114">
        <f t="shared" si="37"/>
        <v>0</v>
      </c>
      <c r="AF35" s="114">
        <f t="shared" si="37"/>
        <v>0</v>
      </c>
      <c r="AG35" s="114">
        <f t="shared" si="37"/>
        <v>0</v>
      </c>
      <c r="AH35" s="115">
        <f>SUM(I35:AG35)</f>
        <v>0</v>
      </c>
      <c r="AJ35" s="76"/>
      <c r="AK35" s="62"/>
      <c r="AQ35" s="163"/>
      <c r="AR35" s="163"/>
    </row>
    <row r="36" spans="2:44" ht="15" thickBot="1" x14ac:dyDescent="0.35">
      <c r="B36" s="15"/>
      <c r="C36" s="111">
        <f t="shared" si="35"/>
        <v>8</v>
      </c>
      <c r="D36" s="112">
        <f t="shared" si="24"/>
        <v>0</v>
      </c>
      <c r="E36" s="112">
        <f t="shared" si="25"/>
        <v>0</v>
      </c>
      <c r="F36" s="112">
        <f t="shared" si="26"/>
        <v>0</v>
      </c>
      <c r="G36" s="112">
        <f t="shared" si="30"/>
        <v>0</v>
      </c>
      <c r="H36" s="118"/>
      <c r="I36" s="114">
        <f t="shared" si="27"/>
        <v>0</v>
      </c>
      <c r="J36" s="114">
        <f t="shared" ref="J36:AG36" si="38">IF($H17&gt;=25,$G36,IF(J$28&lt;=$H17,$G36,IF(J$28&lt;=($H17*($AD17+1)),$G36,0)))-IF($H17="",0,IF(J$28-1&lt;=($H17*$AD17),$F36,0))*IF(OR($AE17=0,$AE17&gt;25),0,IF(MOD(J$28-1,$H17)=0,1,0))</f>
        <v>0</v>
      </c>
      <c r="K36" s="114">
        <f t="shared" si="38"/>
        <v>0</v>
      </c>
      <c r="L36" s="114">
        <f t="shared" si="38"/>
        <v>0</v>
      </c>
      <c r="M36" s="114">
        <f t="shared" si="38"/>
        <v>0</v>
      </c>
      <c r="N36" s="114">
        <f t="shared" si="38"/>
        <v>0</v>
      </c>
      <c r="O36" s="114">
        <f t="shared" si="38"/>
        <v>0</v>
      </c>
      <c r="P36" s="114">
        <f t="shared" si="38"/>
        <v>0</v>
      </c>
      <c r="Q36" s="114">
        <f t="shared" si="38"/>
        <v>0</v>
      </c>
      <c r="R36" s="114">
        <f t="shared" si="38"/>
        <v>0</v>
      </c>
      <c r="S36" s="114">
        <f t="shared" si="38"/>
        <v>0</v>
      </c>
      <c r="T36" s="114">
        <f t="shared" si="38"/>
        <v>0</v>
      </c>
      <c r="U36" s="114">
        <f t="shared" si="38"/>
        <v>0</v>
      </c>
      <c r="V36" s="114">
        <f t="shared" si="38"/>
        <v>0</v>
      </c>
      <c r="W36" s="114">
        <f t="shared" si="38"/>
        <v>0</v>
      </c>
      <c r="X36" s="114">
        <f t="shared" si="38"/>
        <v>0</v>
      </c>
      <c r="Y36" s="114">
        <f t="shared" si="38"/>
        <v>0</v>
      </c>
      <c r="Z36" s="114">
        <f t="shared" si="38"/>
        <v>0</v>
      </c>
      <c r="AA36" s="114">
        <f t="shared" si="38"/>
        <v>0</v>
      </c>
      <c r="AB36" s="114">
        <f t="shared" si="38"/>
        <v>0</v>
      </c>
      <c r="AC36" s="114">
        <f t="shared" si="38"/>
        <v>0</v>
      </c>
      <c r="AD36" s="114">
        <f t="shared" si="38"/>
        <v>0</v>
      </c>
      <c r="AE36" s="114">
        <f t="shared" si="38"/>
        <v>0</v>
      </c>
      <c r="AF36" s="114">
        <f t="shared" si="38"/>
        <v>0</v>
      </c>
      <c r="AG36" s="114">
        <f t="shared" si="38"/>
        <v>0</v>
      </c>
      <c r="AH36" s="115">
        <f t="shared" si="29"/>
        <v>0</v>
      </c>
      <c r="AJ36" s="76"/>
      <c r="AK36" s="62"/>
      <c r="AQ36" s="163"/>
      <c r="AR36" s="163"/>
    </row>
    <row r="37" spans="2:44" ht="15" thickBot="1" x14ac:dyDescent="0.35">
      <c r="B37" s="15"/>
      <c r="C37" s="111">
        <f t="shared" si="35"/>
        <v>9</v>
      </c>
      <c r="D37" s="112">
        <f t="shared" si="24"/>
        <v>0</v>
      </c>
      <c r="E37" s="112">
        <f t="shared" si="25"/>
        <v>0</v>
      </c>
      <c r="F37" s="112">
        <f t="shared" si="26"/>
        <v>0</v>
      </c>
      <c r="G37" s="112">
        <f t="shared" si="30"/>
        <v>0</v>
      </c>
      <c r="H37" s="118"/>
      <c r="I37" s="114">
        <f t="shared" si="27"/>
        <v>0</v>
      </c>
      <c r="J37" s="114">
        <f t="shared" ref="J37:AG37" si="39">IF($H18&gt;=25,$G37,IF(J$28&lt;=$H18,$G37,IF(J$28&lt;=($H18*($AD18+1)),$G37,0)))-IF($H18="",0,IF(J$28-1&lt;=($H18*$AD18),$F37,0))*IF(OR($AE18=0,$AE18&gt;25),0,IF(MOD(J$28-1,$H18)=0,1,0))</f>
        <v>0</v>
      </c>
      <c r="K37" s="114">
        <f t="shared" si="39"/>
        <v>0</v>
      </c>
      <c r="L37" s="114">
        <f t="shared" si="39"/>
        <v>0</v>
      </c>
      <c r="M37" s="114">
        <f t="shared" si="39"/>
        <v>0</v>
      </c>
      <c r="N37" s="114">
        <f t="shared" si="39"/>
        <v>0</v>
      </c>
      <c r="O37" s="114">
        <f t="shared" si="39"/>
        <v>0</v>
      </c>
      <c r="P37" s="114">
        <f t="shared" si="39"/>
        <v>0</v>
      </c>
      <c r="Q37" s="114">
        <f t="shared" si="39"/>
        <v>0</v>
      </c>
      <c r="R37" s="114">
        <f t="shared" si="39"/>
        <v>0</v>
      </c>
      <c r="S37" s="114">
        <f t="shared" si="39"/>
        <v>0</v>
      </c>
      <c r="T37" s="114">
        <f t="shared" si="39"/>
        <v>0</v>
      </c>
      <c r="U37" s="114">
        <f t="shared" si="39"/>
        <v>0</v>
      </c>
      <c r="V37" s="114">
        <f t="shared" si="39"/>
        <v>0</v>
      </c>
      <c r="W37" s="114">
        <f t="shared" si="39"/>
        <v>0</v>
      </c>
      <c r="X37" s="114">
        <f t="shared" si="39"/>
        <v>0</v>
      </c>
      <c r="Y37" s="114">
        <f t="shared" si="39"/>
        <v>0</v>
      </c>
      <c r="Z37" s="114">
        <f t="shared" si="39"/>
        <v>0</v>
      </c>
      <c r="AA37" s="114">
        <f t="shared" si="39"/>
        <v>0</v>
      </c>
      <c r="AB37" s="114">
        <f t="shared" si="39"/>
        <v>0</v>
      </c>
      <c r="AC37" s="114">
        <f t="shared" si="39"/>
        <v>0</v>
      </c>
      <c r="AD37" s="114">
        <f t="shared" si="39"/>
        <v>0</v>
      </c>
      <c r="AE37" s="114">
        <f t="shared" si="39"/>
        <v>0</v>
      </c>
      <c r="AF37" s="114">
        <f t="shared" si="39"/>
        <v>0</v>
      </c>
      <c r="AG37" s="114">
        <f t="shared" si="39"/>
        <v>0</v>
      </c>
      <c r="AH37" s="115">
        <f t="shared" si="29"/>
        <v>0</v>
      </c>
      <c r="AJ37" s="76"/>
      <c r="AK37" s="62"/>
      <c r="AQ37" s="163"/>
      <c r="AR37" s="163"/>
    </row>
    <row r="38" spans="2:44" ht="15" thickBot="1" x14ac:dyDescent="0.35">
      <c r="B38" s="15"/>
      <c r="C38" s="111">
        <f t="shared" si="35"/>
        <v>10</v>
      </c>
      <c r="D38" s="112">
        <f t="shared" si="24"/>
        <v>0</v>
      </c>
      <c r="E38" s="112">
        <f t="shared" si="25"/>
        <v>0</v>
      </c>
      <c r="F38" s="112">
        <f t="shared" si="26"/>
        <v>0</v>
      </c>
      <c r="G38" s="112">
        <f t="shared" si="30"/>
        <v>0</v>
      </c>
      <c r="H38" s="118"/>
      <c r="I38" s="114">
        <f t="shared" si="27"/>
        <v>0</v>
      </c>
      <c r="J38" s="114">
        <f t="shared" ref="J38:AG38" si="40">IF($H19&gt;=25,$G38,IF(J$28&lt;=$H19,$G38,IF(J$28&lt;=($H19*($AD19+1)),$G38,0)))-IF($H19="",0,IF(J$28-1&lt;=($H19*$AD19),$F38,0))*IF(OR($AE19=0,$AE19&gt;25),0,IF(MOD(J$28-1,$H19)=0,1,0))</f>
        <v>0</v>
      </c>
      <c r="K38" s="114">
        <f t="shared" si="40"/>
        <v>0</v>
      </c>
      <c r="L38" s="114">
        <f t="shared" si="40"/>
        <v>0</v>
      </c>
      <c r="M38" s="114">
        <f t="shared" si="40"/>
        <v>0</v>
      </c>
      <c r="N38" s="114">
        <f t="shared" si="40"/>
        <v>0</v>
      </c>
      <c r="O38" s="114">
        <f t="shared" si="40"/>
        <v>0</v>
      </c>
      <c r="P38" s="114">
        <f t="shared" si="40"/>
        <v>0</v>
      </c>
      <c r="Q38" s="114">
        <f t="shared" si="40"/>
        <v>0</v>
      </c>
      <c r="R38" s="114">
        <f t="shared" si="40"/>
        <v>0</v>
      </c>
      <c r="S38" s="114">
        <f t="shared" si="40"/>
        <v>0</v>
      </c>
      <c r="T38" s="114">
        <f t="shared" si="40"/>
        <v>0</v>
      </c>
      <c r="U38" s="114">
        <f t="shared" si="40"/>
        <v>0</v>
      </c>
      <c r="V38" s="114">
        <f t="shared" si="40"/>
        <v>0</v>
      </c>
      <c r="W38" s="114">
        <f t="shared" si="40"/>
        <v>0</v>
      </c>
      <c r="X38" s="114">
        <f t="shared" si="40"/>
        <v>0</v>
      </c>
      <c r="Y38" s="114">
        <f t="shared" si="40"/>
        <v>0</v>
      </c>
      <c r="Z38" s="114">
        <f t="shared" si="40"/>
        <v>0</v>
      </c>
      <c r="AA38" s="114">
        <f t="shared" si="40"/>
        <v>0</v>
      </c>
      <c r="AB38" s="114">
        <f t="shared" si="40"/>
        <v>0</v>
      </c>
      <c r="AC38" s="114">
        <f t="shared" si="40"/>
        <v>0</v>
      </c>
      <c r="AD38" s="114">
        <f t="shared" si="40"/>
        <v>0</v>
      </c>
      <c r="AE38" s="114">
        <f t="shared" si="40"/>
        <v>0</v>
      </c>
      <c r="AF38" s="114">
        <f t="shared" si="40"/>
        <v>0</v>
      </c>
      <c r="AG38" s="114">
        <f t="shared" si="40"/>
        <v>0</v>
      </c>
      <c r="AH38" s="115">
        <f t="shared" si="29"/>
        <v>0</v>
      </c>
      <c r="AJ38" s="76"/>
      <c r="AK38" s="62"/>
      <c r="AQ38" s="163"/>
      <c r="AR38" s="163"/>
    </row>
    <row r="39" spans="2:44" ht="15" thickBot="1" x14ac:dyDescent="0.35">
      <c r="B39" s="15"/>
      <c r="C39" s="111"/>
      <c r="D39" s="119"/>
      <c r="E39" s="119"/>
      <c r="F39" s="119"/>
      <c r="G39" s="116"/>
      <c r="H39" s="120" t="s">
        <v>54</v>
      </c>
      <c r="I39" s="121">
        <f>SUM(I29:I38)</f>
        <v>0</v>
      </c>
      <c r="J39" s="121">
        <f t="shared" ref="J39:AH39" si="41">SUM(J29:J38)</f>
        <v>0</v>
      </c>
      <c r="K39" s="121">
        <f t="shared" si="41"/>
        <v>0</v>
      </c>
      <c r="L39" s="121">
        <f t="shared" si="41"/>
        <v>0</v>
      </c>
      <c r="M39" s="121">
        <f t="shared" si="41"/>
        <v>0</v>
      </c>
      <c r="N39" s="121">
        <f t="shared" si="41"/>
        <v>0</v>
      </c>
      <c r="O39" s="121">
        <f t="shared" si="41"/>
        <v>0</v>
      </c>
      <c r="P39" s="121">
        <f t="shared" si="41"/>
        <v>0</v>
      </c>
      <c r="Q39" s="121">
        <f t="shared" si="41"/>
        <v>0</v>
      </c>
      <c r="R39" s="121">
        <f t="shared" si="41"/>
        <v>0</v>
      </c>
      <c r="S39" s="121">
        <f t="shared" si="41"/>
        <v>0</v>
      </c>
      <c r="T39" s="121">
        <f t="shared" si="41"/>
        <v>0</v>
      </c>
      <c r="U39" s="121">
        <f t="shared" si="41"/>
        <v>0</v>
      </c>
      <c r="V39" s="121">
        <f t="shared" si="41"/>
        <v>0</v>
      </c>
      <c r="W39" s="121">
        <f t="shared" si="41"/>
        <v>0</v>
      </c>
      <c r="X39" s="121">
        <f t="shared" si="41"/>
        <v>0</v>
      </c>
      <c r="Y39" s="121">
        <f t="shared" si="41"/>
        <v>0</v>
      </c>
      <c r="Z39" s="121">
        <f t="shared" si="41"/>
        <v>0</v>
      </c>
      <c r="AA39" s="121">
        <f t="shared" si="41"/>
        <v>0</v>
      </c>
      <c r="AB39" s="121">
        <f t="shared" si="41"/>
        <v>0</v>
      </c>
      <c r="AC39" s="121">
        <f t="shared" si="41"/>
        <v>0</v>
      </c>
      <c r="AD39" s="121">
        <f t="shared" si="41"/>
        <v>0</v>
      </c>
      <c r="AE39" s="121">
        <f t="shared" si="41"/>
        <v>0</v>
      </c>
      <c r="AF39" s="121">
        <f t="shared" si="41"/>
        <v>0</v>
      </c>
      <c r="AG39" s="121">
        <f t="shared" si="41"/>
        <v>0</v>
      </c>
      <c r="AH39" s="122">
        <f t="shared" si="41"/>
        <v>0</v>
      </c>
      <c r="AJ39" s="76"/>
      <c r="AK39" s="62"/>
      <c r="AQ39" s="163"/>
      <c r="AR39" s="163"/>
    </row>
    <row r="40" spans="2:44" ht="15" thickBot="1" x14ac:dyDescent="0.35">
      <c r="B40" s="15"/>
      <c r="C40" s="111"/>
      <c r="D40" s="123"/>
      <c r="E40" s="123"/>
      <c r="F40" s="123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24"/>
      <c r="AJ40" s="76"/>
      <c r="AK40" s="62"/>
      <c r="AQ40" s="163"/>
      <c r="AR40" s="163"/>
    </row>
    <row r="41" spans="2:44" ht="28.5" customHeight="1" thickBot="1" x14ac:dyDescent="0.35">
      <c r="B41" s="15"/>
      <c r="C41" s="107" t="s">
        <v>52</v>
      </c>
      <c r="D41" s="125" t="s">
        <v>191</v>
      </c>
      <c r="E41" s="126"/>
      <c r="F41" s="126"/>
      <c r="G41" s="971" t="s">
        <v>192</v>
      </c>
      <c r="H41" s="971"/>
      <c r="I41" s="109">
        <v>1</v>
      </c>
      <c r="J41" s="109">
        <v>2</v>
      </c>
      <c r="K41" s="109">
        <v>3</v>
      </c>
      <c r="L41" s="109">
        <v>4</v>
      </c>
      <c r="M41" s="109">
        <v>5</v>
      </c>
      <c r="N41" s="109">
        <v>6</v>
      </c>
      <c r="O41" s="109">
        <v>7</v>
      </c>
      <c r="P41" s="109">
        <v>8</v>
      </c>
      <c r="Q41" s="109">
        <v>9</v>
      </c>
      <c r="R41" s="109">
        <v>10</v>
      </c>
      <c r="S41" s="109">
        <v>11</v>
      </c>
      <c r="T41" s="109">
        <v>12</v>
      </c>
      <c r="U41" s="109">
        <v>13</v>
      </c>
      <c r="V41" s="109">
        <v>14</v>
      </c>
      <c r="W41" s="109">
        <v>15</v>
      </c>
      <c r="X41" s="109">
        <v>16</v>
      </c>
      <c r="Y41" s="109">
        <v>17</v>
      </c>
      <c r="Z41" s="109">
        <v>18</v>
      </c>
      <c r="AA41" s="109">
        <v>19</v>
      </c>
      <c r="AB41" s="109">
        <v>20</v>
      </c>
      <c r="AC41" s="109">
        <v>21</v>
      </c>
      <c r="AD41" s="109">
        <v>22</v>
      </c>
      <c r="AE41" s="109">
        <v>23</v>
      </c>
      <c r="AF41" s="109">
        <v>24</v>
      </c>
      <c r="AG41" s="109">
        <v>25</v>
      </c>
      <c r="AH41" s="110" t="s">
        <v>53</v>
      </c>
      <c r="AJ41" s="76"/>
      <c r="AK41" s="62"/>
      <c r="AQ41" s="163"/>
      <c r="AR41" s="163"/>
    </row>
    <row r="42" spans="2:44" ht="15" thickBot="1" x14ac:dyDescent="0.35">
      <c r="B42" s="15"/>
      <c r="C42" s="127">
        <f t="shared" ref="C42:C51" si="42">C29</f>
        <v>1</v>
      </c>
      <c r="D42" s="422">
        <f t="shared" ref="D42:D51" si="43">V10</f>
        <v>0</v>
      </c>
      <c r="E42" s="128"/>
      <c r="F42" s="128"/>
      <c r="G42" s="422">
        <f>IF(D42="","",D42-E42-F42)</f>
        <v>0</v>
      </c>
      <c r="H42" s="116"/>
      <c r="I42" s="417">
        <f t="shared" ref="I42:AG42" si="44">IF($H10&gt;=25,$G42,IF(I$41&lt;=$H10,$G42,IF(I$41&lt;=($H10*($AD10+1)),$G42,0)))</f>
        <v>0</v>
      </c>
      <c r="J42" s="417">
        <f t="shared" si="44"/>
        <v>0</v>
      </c>
      <c r="K42" s="417">
        <f t="shared" si="44"/>
        <v>0</v>
      </c>
      <c r="L42" s="417">
        <f t="shared" si="44"/>
        <v>0</v>
      </c>
      <c r="M42" s="417">
        <f t="shared" si="44"/>
        <v>0</v>
      </c>
      <c r="N42" s="417">
        <f t="shared" si="44"/>
        <v>0</v>
      </c>
      <c r="O42" s="417">
        <f t="shared" si="44"/>
        <v>0</v>
      </c>
      <c r="P42" s="417">
        <f t="shared" si="44"/>
        <v>0</v>
      </c>
      <c r="Q42" s="417">
        <f t="shared" si="44"/>
        <v>0</v>
      </c>
      <c r="R42" s="417">
        <f t="shared" si="44"/>
        <v>0</v>
      </c>
      <c r="S42" s="417">
        <f t="shared" si="44"/>
        <v>0</v>
      </c>
      <c r="T42" s="417">
        <f t="shared" si="44"/>
        <v>0</v>
      </c>
      <c r="U42" s="417">
        <f t="shared" si="44"/>
        <v>0</v>
      </c>
      <c r="V42" s="417">
        <f t="shared" si="44"/>
        <v>0</v>
      </c>
      <c r="W42" s="417">
        <f t="shared" si="44"/>
        <v>0</v>
      </c>
      <c r="X42" s="417">
        <f t="shared" si="44"/>
        <v>0</v>
      </c>
      <c r="Y42" s="417">
        <f t="shared" si="44"/>
        <v>0</v>
      </c>
      <c r="Z42" s="417">
        <f t="shared" si="44"/>
        <v>0</v>
      </c>
      <c r="AA42" s="417">
        <f t="shared" si="44"/>
        <v>0</v>
      </c>
      <c r="AB42" s="417">
        <f t="shared" si="44"/>
        <v>0</v>
      </c>
      <c r="AC42" s="417">
        <f t="shared" si="44"/>
        <v>0</v>
      </c>
      <c r="AD42" s="417">
        <f t="shared" si="44"/>
        <v>0</v>
      </c>
      <c r="AE42" s="417">
        <f t="shared" si="44"/>
        <v>0</v>
      </c>
      <c r="AF42" s="417">
        <f t="shared" si="44"/>
        <v>0</v>
      </c>
      <c r="AG42" s="417">
        <f t="shared" si="44"/>
        <v>0</v>
      </c>
      <c r="AH42" s="418">
        <f t="shared" ref="AH42:AH50" si="45">SUM(I42:AG42)</f>
        <v>0</v>
      </c>
      <c r="AJ42" s="76"/>
      <c r="AK42" s="62"/>
      <c r="AQ42" s="163"/>
      <c r="AR42" s="163"/>
    </row>
    <row r="43" spans="2:44" ht="15" thickBot="1" x14ac:dyDescent="0.35">
      <c r="B43" s="15"/>
      <c r="C43" s="127">
        <f t="shared" si="42"/>
        <v>2</v>
      </c>
      <c r="D43" s="422">
        <f t="shared" si="43"/>
        <v>0</v>
      </c>
      <c r="E43" s="128"/>
      <c r="F43" s="128"/>
      <c r="G43" s="422">
        <f t="shared" ref="G43:G51" si="46">IF(D43="","",D43-E43-F43)</f>
        <v>0</v>
      </c>
      <c r="H43" s="116"/>
      <c r="I43" s="417">
        <f t="shared" ref="I43:AG43" si="47">IF($H11&gt;=25,$G43,IF(I$41&lt;=$H11,$G43,IF(I$41&lt;=($H11*($AD11+1)),$G43,0)))</f>
        <v>0</v>
      </c>
      <c r="J43" s="417">
        <f t="shared" si="47"/>
        <v>0</v>
      </c>
      <c r="K43" s="417">
        <f t="shared" si="47"/>
        <v>0</v>
      </c>
      <c r="L43" s="417">
        <f t="shared" si="47"/>
        <v>0</v>
      </c>
      <c r="M43" s="417">
        <f t="shared" si="47"/>
        <v>0</v>
      </c>
      <c r="N43" s="417">
        <f t="shared" si="47"/>
        <v>0</v>
      </c>
      <c r="O43" s="417">
        <f t="shared" si="47"/>
        <v>0</v>
      </c>
      <c r="P43" s="417">
        <f t="shared" si="47"/>
        <v>0</v>
      </c>
      <c r="Q43" s="417">
        <f t="shared" si="47"/>
        <v>0</v>
      </c>
      <c r="R43" s="417">
        <f t="shared" si="47"/>
        <v>0</v>
      </c>
      <c r="S43" s="417">
        <f t="shared" si="47"/>
        <v>0</v>
      </c>
      <c r="T43" s="417">
        <f t="shared" si="47"/>
        <v>0</v>
      </c>
      <c r="U43" s="417">
        <f t="shared" si="47"/>
        <v>0</v>
      </c>
      <c r="V43" s="417">
        <f t="shared" si="47"/>
        <v>0</v>
      </c>
      <c r="W43" s="417">
        <f t="shared" si="47"/>
        <v>0</v>
      </c>
      <c r="X43" s="417">
        <f t="shared" si="47"/>
        <v>0</v>
      </c>
      <c r="Y43" s="417">
        <f t="shared" si="47"/>
        <v>0</v>
      </c>
      <c r="Z43" s="417">
        <f t="shared" si="47"/>
        <v>0</v>
      </c>
      <c r="AA43" s="417">
        <f t="shared" si="47"/>
        <v>0</v>
      </c>
      <c r="AB43" s="417">
        <f t="shared" si="47"/>
        <v>0</v>
      </c>
      <c r="AC43" s="417">
        <f t="shared" si="47"/>
        <v>0</v>
      </c>
      <c r="AD43" s="417">
        <f t="shared" si="47"/>
        <v>0</v>
      </c>
      <c r="AE43" s="417">
        <f t="shared" si="47"/>
        <v>0</v>
      </c>
      <c r="AF43" s="417">
        <f t="shared" si="47"/>
        <v>0</v>
      </c>
      <c r="AG43" s="417">
        <f t="shared" si="47"/>
        <v>0</v>
      </c>
      <c r="AH43" s="418">
        <f t="shared" si="45"/>
        <v>0</v>
      </c>
      <c r="AJ43" s="76"/>
      <c r="AK43" s="62"/>
      <c r="AQ43" s="163"/>
      <c r="AR43" s="163"/>
    </row>
    <row r="44" spans="2:44" ht="15" thickBot="1" x14ac:dyDescent="0.35">
      <c r="B44" s="15"/>
      <c r="C44" s="127">
        <f t="shared" si="42"/>
        <v>3</v>
      </c>
      <c r="D44" s="422">
        <f t="shared" si="43"/>
        <v>0</v>
      </c>
      <c r="E44" s="128"/>
      <c r="F44" s="128"/>
      <c r="G44" s="422">
        <f t="shared" si="46"/>
        <v>0</v>
      </c>
      <c r="H44" s="116"/>
      <c r="I44" s="417">
        <f t="shared" ref="I44:AG44" si="48">IF($H12&gt;=25,$G44,IF(I$41&lt;=$H12,$G44,IF(I$41&lt;=($H12*($AD12+1)),$G44,0)))</f>
        <v>0</v>
      </c>
      <c r="J44" s="417">
        <f t="shared" si="48"/>
        <v>0</v>
      </c>
      <c r="K44" s="417">
        <f t="shared" si="48"/>
        <v>0</v>
      </c>
      <c r="L44" s="417">
        <f t="shared" si="48"/>
        <v>0</v>
      </c>
      <c r="M44" s="417">
        <f t="shared" si="48"/>
        <v>0</v>
      </c>
      <c r="N44" s="417">
        <f t="shared" si="48"/>
        <v>0</v>
      </c>
      <c r="O44" s="417">
        <f t="shared" si="48"/>
        <v>0</v>
      </c>
      <c r="P44" s="417">
        <f t="shared" si="48"/>
        <v>0</v>
      </c>
      <c r="Q44" s="417">
        <f t="shared" si="48"/>
        <v>0</v>
      </c>
      <c r="R44" s="417">
        <f t="shared" si="48"/>
        <v>0</v>
      </c>
      <c r="S44" s="417">
        <f t="shared" si="48"/>
        <v>0</v>
      </c>
      <c r="T44" s="417">
        <f t="shared" si="48"/>
        <v>0</v>
      </c>
      <c r="U44" s="417">
        <f t="shared" si="48"/>
        <v>0</v>
      </c>
      <c r="V44" s="417">
        <f t="shared" si="48"/>
        <v>0</v>
      </c>
      <c r="W44" s="417">
        <f t="shared" si="48"/>
        <v>0</v>
      </c>
      <c r="X44" s="417">
        <f t="shared" si="48"/>
        <v>0</v>
      </c>
      <c r="Y44" s="417">
        <f t="shared" si="48"/>
        <v>0</v>
      </c>
      <c r="Z44" s="417">
        <f t="shared" si="48"/>
        <v>0</v>
      </c>
      <c r="AA44" s="417">
        <f t="shared" si="48"/>
        <v>0</v>
      </c>
      <c r="AB44" s="417">
        <f t="shared" si="48"/>
        <v>0</v>
      </c>
      <c r="AC44" s="417">
        <f t="shared" si="48"/>
        <v>0</v>
      </c>
      <c r="AD44" s="417">
        <f t="shared" si="48"/>
        <v>0</v>
      </c>
      <c r="AE44" s="417">
        <f t="shared" si="48"/>
        <v>0</v>
      </c>
      <c r="AF44" s="417">
        <f t="shared" si="48"/>
        <v>0</v>
      </c>
      <c r="AG44" s="417">
        <f t="shared" si="48"/>
        <v>0</v>
      </c>
      <c r="AH44" s="418">
        <f t="shared" si="45"/>
        <v>0</v>
      </c>
      <c r="AJ44" s="76"/>
      <c r="AK44" s="62"/>
      <c r="AQ44" s="163"/>
      <c r="AR44" s="163"/>
    </row>
    <row r="45" spans="2:44" ht="15" thickBot="1" x14ac:dyDescent="0.35">
      <c r="B45" s="15"/>
      <c r="C45" s="127">
        <f t="shared" si="42"/>
        <v>4</v>
      </c>
      <c r="D45" s="422">
        <f t="shared" si="43"/>
        <v>0</v>
      </c>
      <c r="E45" s="128"/>
      <c r="F45" s="128"/>
      <c r="G45" s="422">
        <f t="shared" si="46"/>
        <v>0</v>
      </c>
      <c r="H45" s="116"/>
      <c r="I45" s="417">
        <f t="shared" ref="I45:AG45" si="49">IF($H13&gt;=25,$G45,IF(I$41&lt;=$H13,$G45,IF(I$41&lt;=($H13*($AD13+1)),$G45,0)))</f>
        <v>0</v>
      </c>
      <c r="J45" s="417">
        <f t="shared" si="49"/>
        <v>0</v>
      </c>
      <c r="K45" s="417">
        <f t="shared" si="49"/>
        <v>0</v>
      </c>
      <c r="L45" s="417">
        <f t="shared" si="49"/>
        <v>0</v>
      </c>
      <c r="M45" s="417">
        <f t="shared" si="49"/>
        <v>0</v>
      </c>
      <c r="N45" s="417">
        <f t="shared" si="49"/>
        <v>0</v>
      </c>
      <c r="O45" s="417">
        <f t="shared" si="49"/>
        <v>0</v>
      </c>
      <c r="P45" s="417">
        <f t="shared" si="49"/>
        <v>0</v>
      </c>
      <c r="Q45" s="417">
        <f t="shared" si="49"/>
        <v>0</v>
      </c>
      <c r="R45" s="417">
        <f t="shared" si="49"/>
        <v>0</v>
      </c>
      <c r="S45" s="417">
        <f t="shared" si="49"/>
        <v>0</v>
      </c>
      <c r="T45" s="417">
        <f t="shared" si="49"/>
        <v>0</v>
      </c>
      <c r="U45" s="417">
        <f t="shared" si="49"/>
        <v>0</v>
      </c>
      <c r="V45" s="417">
        <f t="shared" si="49"/>
        <v>0</v>
      </c>
      <c r="W45" s="417">
        <f t="shared" si="49"/>
        <v>0</v>
      </c>
      <c r="X45" s="417">
        <f t="shared" si="49"/>
        <v>0</v>
      </c>
      <c r="Y45" s="417">
        <f t="shared" si="49"/>
        <v>0</v>
      </c>
      <c r="Z45" s="417">
        <f t="shared" si="49"/>
        <v>0</v>
      </c>
      <c r="AA45" s="417">
        <f t="shared" si="49"/>
        <v>0</v>
      </c>
      <c r="AB45" s="417">
        <f t="shared" si="49"/>
        <v>0</v>
      </c>
      <c r="AC45" s="417">
        <f t="shared" si="49"/>
        <v>0</v>
      </c>
      <c r="AD45" s="417">
        <f t="shared" si="49"/>
        <v>0</v>
      </c>
      <c r="AE45" s="417">
        <f t="shared" si="49"/>
        <v>0</v>
      </c>
      <c r="AF45" s="417">
        <f t="shared" si="49"/>
        <v>0</v>
      </c>
      <c r="AG45" s="417">
        <f t="shared" si="49"/>
        <v>0</v>
      </c>
      <c r="AH45" s="418">
        <f t="shared" si="45"/>
        <v>0</v>
      </c>
      <c r="AJ45" s="76"/>
      <c r="AK45" s="62"/>
      <c r="AQ45" s="163"/>
      <c r="AR45" s="163"/>
    </row>
    <row r="46" spans="2:44" ht="15" thickBot="1" x14ac:dyDescent="0.35">
      <c r="B46" s="15"/>
      <c r="C46" s="129">
        <f t="shared" si="42"/>
        <v>5</v>
      </c>
      <c r="D46" s="422">
        <f t="shared" si="43"/>
        <v>0</v>
      </c>
      <c r="E46" s="128"/>
      <c r="F46" s="128"/>
      <c r="G46" s="422">
        <f t="shared" si="46"/>
        <v>0</v>
      </c>
      <c r="H46" s="116"/>
      <c r="I46" s="417">
        <f t="shared" ref="I46:AG46" si="50">IF($H14&gt;=25,$G46,IF(I$41&lt;=$H14,$G46,IF(I$41&lt;=($H14*($AD14+1)),$G46,0)))</f>
        <v>0</v>
      </c>
      <c r="J46" s="417">
        <f t="shared" si="50"/>
        <v>0</v>
      </c>
      <c r="K46" s="417">
        <f t="shared" si="50"/>
        <v>0</v>
      </c>
      <c r="L46" s="417">
        <f t="shared" si="50"/>
        <v>0</v>
      </c>
      <c r="M46" s="417">
        <f t="shared" si="50"/>
        <v>0</v>
      </c>
      <c r="N46" s="417">
        <f t="shared" si="50"/>
        <v>0</v>
      </c>
      <c r="O46" s="417">
        <f t="shared" si="50"/>
        <v>0</v>
      </c>
      <c r="P46" s="417">
        <f t="shared" si="50"/>
        <v>0</v>
      </c>
      <c r="Q46" s="417">
        <f t="shared" si="50"/>
        <v>0</v>
      </c>
      <c r="R46" s="417">
        <f t="shared" si="50"/>
        <v>0</v>
      </c>
      <c r="S46" s="417">
        <f t="shared" si="50"/>
        <v>0</v>
      </c>
      <c r="T46" s="417">
        <f t="shared" si="50"/>
        <v>0</v>
      </c>
      <c r="U46" s="417">
        <f t="shared" si="50"/>
        <v>0</v>
      </c>
      <c r="V46" s="417">
        <f t="shared" si="50"/>
        <v>0</v>
      </c>
      <c r="W46" s="417">
        <f t="shared" si="50"/>
        <v>0</v>
      </c>
      <c r="X46" s="417">
        <f t="shared" si="50"/>
        <v>0</v>
      </c>
      <c r="Y46" s="417">
        <f t="shared" si="50"/>
        <v>0</v>
      </c>
      <c r="Z46" s="417">
        <f t="shared" si="50"/>
        <v>0</v>
      </c>
      <c r="AA46" s="417">
        <f t="shared" si="50"/>
        <v>0</v>
      </c>
      <c r="AB46" s="417">
        <f t="shared" si="50"/>
        <v>0</v>
      </c>
      <c r="AC46" s="417">
        <f t="shared" si="50"/>
        <v>0</v>
      </c>
      <c r="AD46" s="417">
        <f t="shared" si="50"/>
        <v>0</v>
      </c>
      <c r="AE46" s="417">
        <f t="shared" si="50"/>
        <v>0</v>
      </c>
      <c r="AF46" s="417">
        <f t="shared" si="50"/>
        <v>0</v>
      </c>
      <c r="AG46" s="417">
        <f t="shared" si="50"/>
        <v>0</v>
      </c>
      <c r="AH46" s="418">
        <f t="shared" si="45"/>
        <v>0</v>
      </c>
      <c r="AJ46" s="76"/>
      <c r="AK46" s="62"/>
      <c r="AQ46" s="163"/>
      <c r="AR46" s="163"/>
    </row>
    <row r="47" spans="2:44" ht="15" thickBot="1" x14ac:dyDescent="0.35">
      <c r="B47" s="15"/>
      <c r="C47" s="129">
        <f t="shared" si="42"/>
        <v>6</v>
      </c>
      <c r="D47" s="422">
        <f t="shared" si="43"/>
        <v>0</v>
      </c>
      <c r="E47" s="130"/>
      <c r="F47" s="130"/>
      <c r="G47" s="422">
        <f t="shared" si="46"/>
        <v>0</v>
      </c>
      <c r="H47" s="118"/>
      <c r="I47" s="417">
        <f t="shared" ref="I47:AG47" si="51">IF($H15&gt;=25,$G47,IF(I$41&lt;=$H15,$G47,IF(I$41&lt;=($H15*($AD15+1)),$G47,0)))</f>
        <v>0</v>
      </c>
      <c r="J47" s="417">
        <f t="shared" si="51"/>
        <v>0</v>
      </c>
      <c r="K47" s="417">
        <f t="shared" si="51"/>
        <v>0</v>
      </c>
      <c r="L47" s="417">
        <f t="shared" si="51"/>
        <v>0</v>
      </c>
      <c r="M47" s="417">
        <f t="shared" si="51"/>
        <v>0</v>
      </c>
      <c r="N47" s="417">
        <f t="shared" si="51"/>
        <v>0</v>
      </c>
      <c r="O47" s="417">
        <f t="shared" si="51"/>
        <v>0</v>
      </c>
      <c r="P47" s="417">
        <f t="shared" si="51"/>
        <v>0</v>
      </c>
      <c r="Q47" s="417">
        <f t="shared" si="51"/>
        <v>0</v>
      </c>
      <c r="R47" s="417">
        <f t="shared" si="51"/>
        <v>0</v>
      </c>
      <c r="S47" s="417">
        <f t="shared" si="51"/>
        <v>0</v>
      </c>
      <c r="T47" s="417">
        <f t="shared" si="51"/>
        <v>0</v>
      </c>
      <c r="U47" s="417">
        <f t="shared" si="51"/>
        <v>0</v>
      </c>
      <c r="V47" s="417">
        <f t="shared" si="51"/>
        <v>0</v>
      </c>
      <c r="W47" s="417">
        <f t="shared" si="51"/>
        <v>0</v>
      </c>
      <c r="X47" s="417">
        <f t="shared" si="51"/>
        <v>0</v>
      </c>
      <c r="Y47" s="417">
        <f t="shared" si="51"/>
        <v>0</v>
      </c>
      <c r="Z47" s="417">
        <f t="shared" si="51"/>
        <v>0</v>
      </c>
      <c r="AA47" s="417">
        <f t="shared" si="51"/>
        <v>0</v>
      </c>
      <c r="AB47" s="417">
        <f t="shared" si="51"/>
        <v>0</v>
      </c>
      <c r="AC47" s="417">
        <f t="shared" si="51"/>
        <v>0</v>
      </c>
      <c r="AD47" s="417">
        <f t="shared" si="51"/>
        <v>0</v>
      </c>
      <c r="AE47" s="417">
        <f t="shared" si="51"/>
        <v>0</v>
      </c>
      <c r="AF47" s="417">
        <f t="shared" si="51"/>
        <v>0</v>
      </c>
      <c r="AG47" s="417">
        <f t="shared" si="51"/>
        <v>0</v>
      </c>
      <c r="AH47" s="418">
        <f t="shared" si="45"/>
        <v>0</v>
      </c>
      <c r="AJ47" s="76"/>
      <c r="AK47" s="62"/>
      <c r="AQ47" s="163"/>
      <c r="AR47" s="163"/>
    </row>
    <row r="48" spans="2:44" ht="15" thickBot="1" x14ac:dyDescent="0.35">
      <c r="B48" s="15"/>
      <c r="C48" s="129">
        <f t="shared" si="42"/>
        <v>7</v>
      </c>
      <c r="D48" s="422">
        <f t="shared" si="43"/>
        <v>0</v>
      </c>
      <c r="E48" s="130"/>
      <c r="F48" s="130"/>
      <c r="G48" s="422">
        <f t="shared" si="46"/>
        <v>0</v>
      </c>
      <c r="H48" s="118"/>
      <c r="I48" s="417">
        <f t="shared" ref="I48:AG48" si="52">IF($H16&gt;=25,$G48,IF(I$41&lt;=$H16,$G48,IF(I$41&lt;=($H16*($AD16+1)),$G48,0)))</f>
        <v>0</v>
      </c>
      <c r="J48" s="417">
        <f t="shared" si="52"/>
        <v>0</v>
      </c>
      <c r="K48" s="417">
        <f t="shared" si="52"/>
        <v>0</v>
      </c>
      <c r="L48" s="417">
        <f t="shared" si="52"/>
        <v>0</v>
      </c>
      <c r="M48" s="417">
        <f t="shared" si="52"/>
        <v>0</v>
      </c>
      <c r="N48" s="417">
        <f t="shared" si="52"/>
        <v>0</v>
      </c>
      <c r="O48" s="417">
        <f t="shared" si="52"/>
        <v>0</v>
      </c>
      <c r="P48" s="417">
        <f t="shared" si="52"/>
        <v>0</v>
      </c>
      <c r="Q48" s="417">
        <f t="shared" si="52"/>
        <v>0</v>
      </c>
      <c r="R48" s="417">
        <f t="shared" si="52"/>
        <v>0</v>
      </c>
      <c r="S48" s="417">
        <f t="shared" si="52"/>
        <v>0</v>
      </c>
      <c r="T48" s="417">
        <f t="shared" si="52"/>
        <v>0</v>
      </c>
      <c r="U48" s="417">
        <f t="shared" si="52"/>
        <v>0</v>
      </c>
      <c r="V48" s="417">
        <f t="shared" si="52"/>
        <v>0</v>
      </c>
      <c r="W48" s="417">
        <f t="shared" si="52"/>
        <v>0</v>
      </c>
      <c r="X48" s="417">
        <f t="shared" si="52"/>
        <v>0</v>
      </c>
      <c r="Y48" s="417">
        <f t="shared" si="52"/>
        <v>0</v>
      </c>
      <c r="Z48" s="417">
        <f t="shared" si="52"/>
        <v>0</v>
      </c>
      <c r="AA48" s="417">
        <f t="shared" si="52"/>
        <v>0</v>
      </c>
      <c r="AB48" s="417">
        <f t="shared" si="52"/>
        <v>0</v>
      </c>
      <c r="AC48" s="417">
        <f t="shared" si="52"/>
        <v>0</v>
      </c>
      <c r="AD48" s="417">
        <f t="shared" si="52"/>
        <v>0</v>
      </c>
      <c r="AE48" s="417">
        <f t="shared" si="52"/>
        <v>0</v>
      </c>
      <c r="AF48" s="417">
        <f t="shared" si="52"/>
        <v>0</v>
      </c>
      <c r="AG48" s="417">
        <f t="shared" si="52"/>
        <v>0</v>
      </c>
      <c r="AH48" s="418">
        <f t="shared" si="45"/>
        <v>0</v>
      </c>
      <c r="AJ48" s="76"/>
      <c r="AK48" s="62"/>
      <c r="AQ48" s="163"/>
      <c r="AR48" s="163"/>
    </row>
    <row r="49" spans="2:37" ht="15" thickBot="1" x14ac:dyDescent="0.35">
      <c r="B49" s="15"/>
      <c r="C49" s="129">
        <f>C36</f>
        <v>8</v>
      </c>
      <c r="D49" s="422">
        <f t="shared" si="43"/>
        <v>0</v>
      </c>
      <c r="E49" s="130"/>
      <c r="F49" s="130"/>
      <c r="G49" s="422">
        <f t="shared" si="46"/>
        <v>0</v>
      </c>
      <c r="H49" s="118"/>
      <c r="I49" s="417">
        <f t="shared" ref="I49:AG49" si="53">IF($H17&gt;=25,$G49,IF(I$41&lt;=$H17,$G49,IF(I$41&lt;=($H17*($AD17+1)),$G49,0)))</f>
        <v>0</v>
      </c>
      <c r="J49" s="417">
        <f t="shared" si="53"/>
        <v>0</v>
      </c>
      <c r="K49" s="417">
        <f t="shared" si="53"/>
        <v>0</v>
      </c>
      <c r="L49" s="417">
        <f t="shared" si="53"/>
        <v>0</v>
      </c>
      <c r="M49" s="417">
        <f t="shared" si="53"/>
        <v>0</v>
      </c>
      <c r="N49" s="417">
        <f t="shared" si="53"/>
        <v>0</v>
      </c>
      <c r="O49" s="417">
        <f t="shared" si="53"/>
        <v>0</v>
      </c>
      <c r="P49" s="417">
        <f t="shared" si="53"/>
        <v>0</v>
      </c>
      <c r="Q49" s="417">
        <f t="shared" si="53"/>
        <v>0</v>
      </c>
      <c r="R49" s="417">
        <f t="shared" si="53"/>
        <v>0</v>
      </c>
      <c r="S49" s="417">
        <f t="shared" si="53"/>
        <v>0</v>
      </c>
      <c r="T49" s="417">
        <f t="shared" si="53"/>
        <v>0</v>
      </c>
      <c r="U49" s="417">
        <f t="shared" si="53"/>
        <v>0</v>
      </c>
      <c r="V49" s="417">
        <f t="shared" si="53"/>
        <v>0</v>
      </c>
      <c r="W49" s="417">
        <f t="shared" si="53"/>
        <v>0</v>
      </c>
      <c r="X49" s="417">
        <f t="shared" si="53"/>
        <v>0</v>
      </c>
      <c r="Y49" s="417">
        <f t="shared" si="53"/>
        <v>0</v>
      </c>
      <c r="Z49" s="417">
        <f t="shared" si="53"/>
        <v>0</v>
      </c>
      <c r="AA49" s="417">
        <f t="shared" si="53"/>
        <v>0</v>
      </c>
      <c r="AB49" s="417">
        <f t="shared" si="53"/>
        <v>0</v>
      </c>
      <c r="AC49" s="417">
        <f t="shared" si="53"/>
        <v>0</v>
      </c>
      <c r="AD49" s="417">
        <f t="shared" si="53"/>
        <v>0</v>
      </c>
      <c r="AE49" s="417">
        <f t="shared" si="53"/>
        <v>0</v>
      </c>
      <c r="AF49" s="417">
        <f t="shared" si="53"/>
        <v>0</v>
      </c>
      <c r="AG49" s="417">
        <f t="shared" si="53"/>
        <v>0</v>
      </c>
      <c r="AH49" s="418">
        <f t="shared" si="45"/>
        <v>0</v>
      </c>
      <c r="AK49" s="12"/>
    </row>
    <row r="50" spans="2:37" ht="15" thickBot="1" x14ac:dyDescent="0.35">
      <c r="B50" s="15"/>
      <c r="C50" s="129">
        <f t="shared" si="42"/>
        <v>9</v>
      </c>
      <c r="D50" s="422">
        <f t="shared" si="43"/>
        <v>0</v>
      </c>
      <c r="E50" s="130"/>
      <c r="F50" s="130"/>
      <c r="G50" s="422">
        <f t="shared" si="46"/>
        <v>0</v>
      </c>
      <c r="H50" s="118"/>
      <c r="I50" s="417">
        <f t="shared" ref="I50:AG50" si="54">IF($H18&gt;=25,$G50,IF(I$41&lt;=$H18,$G50,IF(I$41&lt;=($H18*($AD18+1)),$G50,0)))</f>
        <v>0</v>
      </c>
      <c r="J50" s="417">
        <f t="shared" si="54"/>
        <v>0</v>
      </c>
      <c r="K50" s="417">
        <f t="shared" si="54"/>
        <v>0</v>
      </c>
      <c r="L50" s="417">
        <f t="shared" si="54"/>
        <v>0</v>
      </c>
      <c r="M50" s="417">
        <f t="shared" si="54"/>
        <v>0</v>
      </c>
      <c r="N50" s="417">
        <f t="shared" si="54"/>
        <v>0</v>
      </c>
      <c r="O50" s="417">
        <f t="shared" si="54"/>
        <v>0</v>
      </c>
      <c r="P50" s="417">
        <f t="shared" si="54"/>
        <v>0</v>
      </c>
      <c r="Q50" s="417">
        <f t="shared" si="54"/>
        <v>0</v>
      </c>
      <c r="R50" s="417">
        <f t="shared" si="54"/>
        <v>0</v>
      </c>
      <c r="S50" s="417">
        <f t="shared" si="54"/>
        <v>0</v>
      </c>
      <c r="T50" s="417">
        <f t="shared" si="54"/>
        <v>0</v>
      </c>
      <c r="U50" s="417">
        <f t="shared" si="54"/>
        <v>0</v>
      </c>
      <c r="V50" s="417">
        <f t="shared" si="54"/>
        <v>0</v>
      </c>
      <c r="W50" s="417">
        <f t="shared" si="54"/>
        <v>0</v>
      </c>
      <c r="X50" s="417">
        <f t="shared" si="54"/>
        <v>0</v>
      </c>
      <c r="Y50" s="417">
        <f t="shared" si="54"/>
        <v>0</v>
      </c>
      <c r="Z50" s="417">
        <f t="shared" si="54"/>
        <v>0</v>
      </c>
      <c r="AA50" s="417">
        <f t="shared" si="54"/>
        <v>0</v>
      </c>
      <c r="AB50" s="417">
        <f t="shared" si="54"/>
        <v>0</v>
      </c>
      <c r="AC50" s="417">
        <f t="shared" si="54"/>
        <v>0</v>
      </c>
      <c r="AD50" s="417">
        <f t="shared" si="54"/>
        <v>0</v>
      </c>
      <c r="AE50" s="417">
        <f t="shared" si="54"/>
        <v>0</v>
      </c>
      <c r="AF50" s="417">
        <f t="shared" si="54"/>
        <v>0</v>
      </c>
      <c r="AG50" s="417">
        <f t="shared" si="54"/>
        <v>0</v>
      </c>
      <c r="AH50" s="418">
        <f t="shared" si="45"/>
        <v>0</v>
      </c>
      <c r="AK50" s="12"/>
    </row>
    <row r="51" spans="2:37" ht="17.25" customHeight="1" thickBot="1" x14ac:dyDescent="0.35">
      <c r="B51" s="15"/>
      <c r="C51" s="129">
        <f t="shared" si="42"/>
        <v>10</v>
      </c>
      <c r="D51" s="422">
        <f t="shared" si="43"/>
        <v>0</v>
      </c>
      <c r="E51" s="130"/>
      <c r="F51" s="130"/>
      <c r="G51" s="422">
        <f t="shared" si="46"/>
        <v>0</v>
      </c>
      <c r="H51" s="118"/>
      <c r="I51" s="417">
        <f t="shared" ref="I51:AG51" si="55">IF($H19&gt;=25,$G51,IF(I$41&lt;=$H19,$G51,IF(I$41&lt;=($H19*($AD19+1)),$G51,0)))</f>
        <v>0</v>
      </c>
      <c r="J51" s="417">
        <f t="shared" si="55"/>
        <v>0</v>
      </c>
      <c r="K51" s="417">
        <f t="shared" si="55"/>
        <v>0</v>
      </c>
      <c r="L51" s="417">
        <f t="shared" si="55"/>
        <v>0</v>
      </c>
      <c r="M51" s="417">
        <f t="shared" si="55"/>
        <v>0</v>
      </c>
      <c r="N51" s="417">
        <f t="shared" si="55"/>
        <v>0</v>
      </c>
      <c r="O51" s="417">
        <f t="shared" si="55"/>
        <v>0</v>
      </c>
      <c r="P51" s="417">
        <f t="shared" si="55"/>
        <v>0</v>
      </c>
      <c r="Q51" s="417">
        <f t="shared" si="55"/>
        <v>0</v>
      </c>
      <c r="R51" s="417">
        <f t="shared" si="55"/>
        <v>0</v>
      </c>
      <c r="S51" s="417">
        <f t="shared" si="55"/>
        <v>0</v>
      </c>
      <c r="T51" s="417">
        <f t="shared" si="55"/>
        <v>0</v>
      </c>
      <c r="U51" s="417">
        <f t="shared" si="55"/>
        <v>0</v>
      </c>
      <c r="V51" s="417">
        <f t="shared" si="55"/>
        <v>0</v>
      </c>
      <c r="W51" s="417">
        <f t="shared" si="55"/>
        <v>0</v>
      </c>
      <c r="X51" s="417">
        <f t="shared" si="55"/>
        <v>0</v>
      </c>
      <c r="Y51" s="417">
        <f t="shared" si="55"/>
        <v>0</v>
      </c>
      <c r="Z51" s="417">
        <f t="shared" si="55"/>
        <v>0</v>
      </c>
      <c r="AA51" s="417">
        <f t="shared" si="55"/>
        <v>0</v>
      </c>
      <c r="AB51" s="417">
        <f t="shared" si="55"/>
        <v>0</v>
      </c>
      <c r="AC51" s="417">
        <f t="shared" si="55"/>
        <v>0</v>
      </c>
      <c r="AD51" s="417">
        <f t="shared" si="55"/>
        <v>0</v>
      </c>
      <c r="AE51" s="417">
        <f t="shared" si="55"/>
        <v>0</v>
      </c>
      <c r="AF51" s="417">
        <f t="shared" si="55"/>
        <v>0</v>
      </c>
      <c r="AG51" s="417">
        <f t="shared" si="55"/>
        <v>0</v>
      </c>
      <c r="AH51" s="419">
        <f>SUM(O51:AG51)</f>
        <v>0</v>
      </c>
      <c r="AK51" s="12"/>
    </row>
    <row r="52" spans="2:37" ht="15" thickBot="1" x14ac:dyDescent="0.35">
      <c r="B52" s="15"/>
      <c r="C52" s="131"/>
      <c r="D52" s="128"/>
      <c r="E52" s="128"/>
      <c r="F52" s="128"/>
      <c r="G52" s="116"/>
      <c r="H52" s="120" t="s">
        <v>54</v>
      </c>
      <c r="I52" s="420">
        <f t="shared" ref="I52:AG52" si="56">SUM(I42:I51)</f>
        <v>0</v>
      </c>
      <c r="J52" s="420">
        <f t="shared" si="56"/>
        <v>0</v>
      </c>
      <c r="K52" s="420">
        <f t="shared" si="56"/>
        <v>0</v>
      </c>
      <c r="L52" s="420">
        <f t="shared" si="56"/>
        <v>0</v>
      </c>
      <c r="M52" s="420">
        <f t="shared" si="56"/>
        <v>0</v>
      </c>
      <c r="N52" s="420">
        <f t="shared" si="56"/>
        <v>0</v>
      </c>
      <c r="O52" s="420">
        <f t="shared" si="56"/>
        <v>0</v>
      </c>
      <c r="P52" s="420">
        <f t="shared" si="56"/>
        <v>0</v>
      </c>
      <c r="Q52" s="420">
        <f t="shared" si="56"/>
        <v>0</v>
      </c>
      <c r="R52" s="420">
        <f t="shared" si="56"/>
        <v>0</v>
      </c>
      <c r="S52" s="420">
        <f t="shared" si="56"/>
        <v>0</v>
      </c>
      <c r="T52" s="420">
        <f t="shared" si="56"/>
        <v>0</v>
      </c>
      <c r="U52" s="420">
        <f t="shared" si="56"/>
        <v>0</v>
      </c>
      <c r="V52" s="420">
        <f t="shared" si="56"/>
        <v>0</v>
      </c>
      <c r="W52" s="420">
        <f t="shared" si="56"/>
        <v>0</v>
      </c>
      <c r="X52" s="420">
        <f t="shared" si="56"/>
        <v>0</v>
      </c>
      <c r="Y52" s="420">
        <f t="shared" si="56"/>
        <v>0</v>
      </c>
      <c r="Z52" s="420">
        <f t="shared" si="56"/>
        <v>0</v>
      </c>
      <c r="AA52" s="420">
        <f t="shared" si="56"/>
        <v>0</v>
      </c>
      <c r="AB52" s="420">
        <f t="shared" si="56"/>
        <v>0</v>
      </c>
      <c r="AC52" s="420">
        <f t="shared" si="56"/>
        <v>0</v>
      </c>
      <c r="AD52" s="420">
        <f t="shared" si="56"/>
        <v>0</v>
      </c>
      <c r="AE52" s="420">
        <f t="shared" si="56"/>
        <v>0</v>
      </c>
      <c r="AF52" s="420">
        <f t="shared" si="56"/>
        <v>0</v>
      </c>
      <c r="AG52" s="420">
        <f t="shared" si="56"/>
        <v>0</v>
      </c>
      <c r="AH52" s="421">
        <f>SUM(AH42:AH51)</f>
        <v>0</v>
      </c>
      <c r="AK52" s="12"/>
    </row>
    <row r="53" spans="2:37" ht="24.75" customHeight="1" thickBot="1" x14ac:dyDescent="0.35">
      <c r="B53" s="15"/>
      <c r="C53" s="133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5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7"/>
      <c r="AJ53" s="76"/>
      <c r="AK53" s="12"/>
    </row>
    <row r="54" spans="2:37" ht="24.75" customHeight="1" x14ac:dyDescent="0.3">
      <c r="B54" s="15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J54" s="76"/>
      <c r="AK54" s="12"/>
    </row>
    <row r="55" spans="2:37" x14ac:dyDescent="0.3">
      <c r="B55" s="15"/>
      <c r="C55" s="2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J55" s="76"/>
      <c r="AK55" s="12"/>
    </row>
    <row r="56" spans="2:37" x14ac:dyDescent="0.3">
      <c r="B56" s="15"/>
      <c r="C56" s="2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J56" s="76"/>
      <c r="AK56" s="12"/>
    </row>
    <row r="57" spans="2:37" ht="15" thickBot="1" x14ac:dyDescent="0.35">
      <c r="B57" s="139"/>
      <c r="C57" s="14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30"/>
    </row>
    <row r="58" spans="2:37" x14ac:dyDescent="0.3">
      <c r="AA58" s="3"/>
      <c r="AB58" s="3"/>
      <c r="AC58" s="3"/>
      <c r="AD58" s="3"/>
      <c r="AJ58" s="76"/>
    </row>
    <row r="59" spans="2:37" x14ac:dyDescent="0.3">
      <c r="AA59" s="3"/>
      <c r="AB59" s="3"/>
      <c r="AC59" s="3"/>
      <c r="AD59" s="3"/>
      <c r="AJ59" s="76"/>
    </row>
    <row r="60" spans="2:37" x14ac:dyDescent="0.3">
      <c r="AJ60" s="76"/>
    </row>
    <row r="61" spans="2:37" x14ac:dyDescent="0.3">
      <c r="AJ61" s="76"/>
    </row>
    <row r="62" spans="2:37" x14ac:dyDescent="0.3">
      <c r="AJ62" s="76"/>
    </row>
    <row r="63" spans="2:37" x14ac:dyDescent="0.3">
      <c r="AJ63" s="76"/>
    </row>
    <row r="64" spans="2:37" x14ac:dyDescent="0.3">
      <c r="AJ64" s="76"/>
    </row>
    <row r="65" spans="36:36" x14ac:dyDescent="0.3">
      <c r="AJ65" s="76"/>
    </row>
    <row r="66" spans="36:36" x14ac:dyDescent="0.3">
      <c r="AJ66" s="76"/>
    </row>
    <row r="67" spans="36:36" x14ac:dyDescent="0.3">
      <c r="AJ67" s="76"/>
    </row>
    <row r="68" spans="36:36" x14ac:dyDescent="0.3">
      <c r="AJ68" s="76"/>
    </row>
    <row r="69" spans="36:36" x14ac:dyDescent="0.3">
      <c r="AJ69" s="76"/>
    </row>
    <row r="70" spans="36:36" x14ac:dyDescent="0.3">
      <c r="AJ70" s="76"/>
    </row>
    <row r="71" spans="36:36" x14ac:dyDescent="0.3">
      <c r="AJ71" s="76"/>
    </row>
    <row r="72" spans="36:36" x14ac:dyDescent="0.3">
      <c r="AJ72" s="76"/>
    </row>
    <row r="73" spans="36:36" x14ac:dyDescent="0.3">
      <c r="AJ73" s="76"/>
    </row>
    <row r="74" spans="36:36" x14ac:dyDescent="0.3">
      <c r="AJ74" s="76"/>
    </row>
    <row r="75" spans="36:36" x14ac:dyDescent="0.3">
      <c r="AJ75" s="76"/>
    </row>
    <row r="76" spans="36:36" x14ac:dyDescent="0.3">
      <c r="AJ76" s="76"/>
    </row>
    <row r="77" spans="36:36" x14ac:dyDescent="0.3">
      <c r="AJ77" s="76"/>
    </row>
    <row r="78" spans="36:36" x14ac:dyDescent="0.3">
      <c r="AJ78" s="76"/>
    </row>
    <row r="79" spans="36:36" x14ac:dyDescent="0.3">
      <c r="AJ79" s="76"/>
    </row>
    <row r="80" spans="36:36" x14ac:dyDescent="0.3">
      <c r="AJ80" s="76"/>
    </row>
    <row r="81" spans="36:36" x14ac:dyDescent="0.3">
      <c r="AJ81" s="76"/>
    </row>
    <row r="82" spans="36:36" x14ac:dyDescent="0.3">
      <c r="AJ82" s="76"/>
    </row>
    <row r="83" spans="36:36" x14ac:dyDescent="0.3">
      <c r="AJ83" s="76"/>
    </row>
    <row r="84" spans="36:36" x14ac:dyDescent="0.3">
      <c r="AJ84" s="76"/>
    </row>
    <row r="85" spans="36:36" x14ac:dyDescent="0.3">
      <c r="AJ85" s="76"/>
    </row>
    <row r="86" spans="36:36" x14ac:dyDescent="0.3">
      <c r="AJ86" s="76"/>
    </row>
    <row r="87" spans="36:36" x14ac:dyDescent="0.3">
      <c r="AJ87" s="76"/>
    </row>
    <row r="88" spans="36:36" x14ac:dyDescent="0.3">
      <c r="AJ88" s="76"/>
    </row>
    <row r="89" spans="36:36" x14ac:dyDescent="0.3">
      <c r="AJ89" s="76"/>
    </row>
    <row r="90" spans="36:36" x14ac:dyDescent="0.3">
      <c r="AJ90" s="76"/>
    </row>
    <row r="91" spans="36:36" x14ac:dyDescent="0.3">
      <c r="AJ91" s="76"/>
    </row>
    <row r="93" spans="36:36" x14ac:dyDescent="0.3">
      <c r="AJ93" s="76"/>
    </row>
    <row r="95" spans="36:36" x14ac:dyDescent="0.3">
      <c r="AJ95" s="76"/>
    </row>
    <row r="97" spans="36:36" x14ac:dyDescent="0.3">
      <c r="AJ97" s="76"/>
    </row>
    <row r="99" spans="36:36" x14ac:dyDescent="0.3">
      <c r="AJ99" s="76"/>
    </row>
    <row r="101" spans="36:36" x14ac:dyDescent="0.3">
      <c r="AJ101" s="76"/>
    </row>
    <row r="103" spans="36:36" x14ac:dyDescent="0.3">
      <c r="AJ103" s="76"/>
    </row>
    <row r="105" spans="36:36" x14ac:dyDescent="0.3">
      <c r="AJ105" s="76"/>
    </row>
    <row r="106" spans="36:36" x14ac:dyDescent="0.3">
      <c r="AJ106" s="3">
        <v>76</v>
      </c>
    </row>
    <row r="107" spans="36:36" x14ac:dyDescent="0.3">
      <c r="AJ107" s="76">
        <v>77</v>
      </c>
    </row>
    <row r="108" spans="36:36" x14ac:dyDescent="0.3">
      <c r="AJ108" s="3">
        <v>78</v>
      </c>
    </row>
  </sheetData>
  <sheetProtection algorithmName="SHA-512" hashValue="/NU9UW7+13ZN3LeI2si0sL1fLpiAaJbt7yGMdV5nGlEhUvEEDZjb08rytPFZBFuqB+VOC+O/T5y2dgdXoa85gw==" saltValue="8i96/Pn39jpFJXMgjRrckw==" spinCount="100000" sheet="1" objects="1" scenarios="1" insertRows="0" selectLockedCells="1"/>
  <protectedRanges>
    <protectedRange sqref="D10:M19 Q10:U19 AB10:AD19 AF10:AG19" name="Folha6"/>
  </protectedRanges>
  <mergeCells count="16">
    <mergeCell ref="AF6:AI6"/>
    <mergeCell ref="G28:H28"/>
    <mergeCell ref="G41:H41"/>
    <mergeCell ref="C23:D23"/>
    <mergeCell ref="I26:AH26"/>
    <mergeCell ref="I27:AG27"/>
    <mergeCell ref="Q6:AE6"/>
    <mergeCell ref="Q7:V7"/>
    <mergeCell ref="Y7:Z7"/>
    <mergeCell ref="C22:D22"/>
    <mergeCell ref="C9:F9"/>
    <mergeCell ref="C3:E3"/>
    <mergeCell ref="C4:H4"/>
    <mergeCell ref="C5:E5"/>
    <mergeCell ref="I7:N7"/>
    <mergeCell ref="I6:P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'16. Fatores de conversão'!$M$2:$M$3</xm:f>
          </x14:formula1>
          <xm:sqref>E10:E19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B108"/>
  <sheetViews>
    <sheetView showGridLines="0" topLeftCell="I8" zoomScaleNormal="100" workbookViewId="0">
      <selection activeCell="AC19" sqref="AC19"/>
    </sheetView>
  </sheetViews>
  <sheetFormatPr defaultColWidth="9.109375" defaultRowHeight="14.4" x14ac:dyDescent="0.3"/>
  <cols>
    <col min="1" max="2" width="9.109375" style="3"/>
    <col min="3" max="3" width="11.5546875" style="1" customWidth="1"/>
    <col min="4" max="4" width="43.5546875" style="3" bestFit="1" customWidth="1"/>
    <col min="5" max="5" width="21.6640625" style="3" customWidth="1"/>
    <col min="6" max="6" width="91" style="3" customWidth="1"/>
    <col min="7" max="7" width="15" style="3" customWidth="1"/>
    <col min="8" max="29" width="13.5546875" style="3" customWidth="1"/>
    <col min="30" max="31" width="13.5546875" style="4" customWidth="1"/>
    <col min="32" max="33" width="13.5546875" style="3" customWidth="1"/>
    <col min="34" max="34" width="15.6640625" style="3" bestFit="1" customWidth="1"/>
    <col min="35" max="35" width="20.5546875" style="3" customWidth="1"/>
    <col min="36" max="36" width="12.88671875" style="3" customWidth="1"/>
    <col min="37" max="37" width="9.109375" style="3"/>
    <col min="38" max="38" width="11.88671875" style="3" customWidth="1"/>
    <col min="39" max="41" width="9.109375" style="3"/>
    <col min="42" max="42" width="18.5546875" style="3" customWidth="1"/>
    <col min="43" max="43" width="25.6640625" style="3" customWidth="1"/>
    <col min="44" max="47" width="18.5546875" style="3" customWidth="1"/>
    <col min="48" max="51" width="11.33203125" style="3" customWidth="1"/>
    <col min="52" max="16384" width="9.109375" style="3"/>
  </cols>
  <sheetData>
    <row r="1" spans="2:54" ht="15.75" thickBot="1" x14ac:dyDescent="0.3"/>
    <row r="2" spans="2:54" ht="15" x14ac:dyDescent="0.25">
      <c r="B2" s="55"/>
      <c r="C2" s="5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57"/>
      <c r="AE2" s="57"/>
      <c r="AF2" s="7"/>
      <c r="AG2" s="7"/>
      <c r="AH2" s="7"/>
      <c r="AI2" s="7"/>
      <c r="AJ2" s="7"/>
      <c r="AK2" s="7"/>
      <c r="AL2" s="8"/>
    </row>
    <row r="3" spans="2:54" ht="21" x14ac:dyDescent="0.25">
      <c r="B3" s="15"/>
      <c r="C3" s="937" t="s">
        <v>33</v>
      </c>
      <c r="D3" s="937"/>
      <c r="E3" s="937"/>
      <c r="F3" s="10"/>
      <c r="G3" s="10"/>
      <c r="H3" s="362"/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L3" s="12"/>
    </row>
    <row r="4" spans="2:54" ht="50.25" customHeight="1" x14ac:dyDescent="0.3">
      <c r="B4" s="15"/>
      <c r="C4" s="985" t="s">
        <v>135</v>
      </c>
      <c r="D4" s="985"/>
      <c r="E4" s="985"/>
      <c r="F4" s="985"/>
      <c r="G4" s="985"/>
      <c r="H4" s="985"/>
      <c r="I4" s="985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36"/>
      <c r="AE4" s="36"/>
      <c r="AF4" s="11"/>
      <c r="AG4" s="11"/>
      <c r="AH4" s="11"/>
      <c r="AI4" s="11"/>
      <c r="AL4" s="12"/>
    </row>
    <row r="5" spans="2:54" ht="38.25" customHeight="1" thickBot="1" x14ac:dyDescent="0.35">
      <c r="B5" s="15"/>
      <c r="C5" s="986" t="s">
        <v>35</v>
      </c>
      <c r="D5" s="986"/>
      <c r="E5" s="986"/>
      <c r="F5" s="58"/>
      <c r="G5" s="58"/>
      <c r="H5" s="363"/>
      <c r="I5" s="58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L5" s="12"/>
      <c r="AP5" s="11"/>
      <c r="AQ5" s="11"/>
      <c r="AR5" s="11"/>
      <c r="AS5" s="11"/>
      <c r="AT5" s="11"/>
      <c r="AU5" s="11"/>
    </row>
    <row r="6" spans="2:54" s="63" customFormat="1" ht="15" thickBot="1" x14ac:dyDescent="0.35">
      <c r="B6" s="59"/>
      <c r="C6" s="60"/>
      <c r="D6" s="61"/>
      <c r="E6" s="61"/>
      <c r="F6" s="61"/>
      <c r="G6" s="61"/>
      <c r="H6" s="61"/>
      <c r="I6" s="61"/>
      <c r="J6" s="968" t="s">
        <v>12</v>
      </c>
      <c r="K6" s="969"/>
      <c r="L6" s="969"/>
      <c r="M6" s="969"/>
      <c r="N6" s="969"/>
      <c r="O6" s="969"/>
      <c r="P6" s="969"/>
      <c r="Q6" s="970"/>
      <c r="R6" s="968" t="s">
        <v>15</v>
      </c>
      <c r="S6" s="969"/>
      <c r="T6" s="969"/>
      <c r="U6" s="969"/>
      <c r="V6" s="969"/>
      <c r="W6" s="969"/>
      <c r="X6" s="969"/>
      <c r="Y6" s="969"/>
      <c r="Z6" s="969"/>
      <c r="AA6" s="969"/>
      <c r="AB6" s="969"/>
      <c r="AC6" s="969"/>
      <c r="AD6" s="969"/>
      <c r="AE6" s="969"/>
      <c r="AF6" s="970"/>
      <c r="AG6" s="968" t="s">
        <v>0</v>
      </c>
      <c r="AH6" s="969"/>
      <c r="AI6" s="969"/>
      <c r="AJ6" s="969"/>
      <c r="AK6" s="970"/>
      <c r="AL6" s="12"/>
      <c r="AM6" s="61"/>
      <c r="AN6" s="61"/>
      <c r="AO6" s="163"/>
      <c r="AP6" s="163"/>
      <c r="AQ6" s="163"/>
      <c r="AR6" s="163"/>
      <c r="AS6" s="163"/>
      <c r="AW6" s="61"/>
      <c r="AX6" s="61"/>
      <c r="AY6" s="61"/>
      <c r="AZ6" s="61"/>
      <c r="BA6" s="61"/>
      <c r="BB6" s="61"/>
    </row>
    <row r="7" spans="2:54" s="76" customFormat="1" ht="51.75" customHeight="1" thickBot="1" x14ac:dyDescent="0.35">
      <c r="B7" s="64"/>
      <c r="C7" s="65"/>
      <c r="D7" s="66"/>
      <c r="E7" s="66"/>
      <c r="F7" s="66"/>
      <c r="G7" s="67" t="s">
        <v>308</v>
      </c>
      <c r="H7" s="245" t="s">
        <v>304</v>
      </c>
      <c r="I7" s="68" t="s">
        <v>14</v>
      </c>
      <c r="J7" s="1003" t="s">
        <v>171</v>
      </c>
      <c r="K7" s="1004"/>
      <c r="L7" s="1004"/>
      <c r="M7" s="1004"/>
      <c r="N7" s="1004"/>
      <c r="O7" s="1004"/>
      <c r="P7" s="69" t="s">
        <v>207</v>
      </c>
      <c r="Q7" s="797" t="s">
        <v>175</v>
      </c>
      <c r="R7" s="1003" t="s">
        <v>180</v>
      </c>
      <c r="S7" s="1004"/>
      <c r="T7" s="1004"/>
      <c r="U7" s="1004"/>
      <c r="V7" s="1004"/>
      <c r="W7" s="1004"/>
      <c r="X7" s="797" t="s">
        <v>118</v>
      </c>
      <c r="Y7" s="612" t="s">
        <v>2</v>
      </c>
      <c r="Z7" s="981" t="s">
        <v>3</v>
      </c>
      <c r="AA7" s="981"/>
      <c r="AB7" s="612" t="s">
        <v>182</v>
      </c>
      <c r="AC7" s="71" t="s">
        <v>183</v>
      </c>
      <c r="AD7" s="72" t="s">
        <v>119</v>
      </c>
      <c r="AE7" s="73" t="s">
        <v>187</v>
      </c>
      <c r="AF7" s="795" t="s">
        <v>188</v>
      </c>
      <c r="AG7" s="75" t="s">
        <v>194</v>
      </c>
      <c r="AH7" s="165" t="s">
        <v>142</v>
      </c>
      <c r="AI7" s="612" t="s">
        <v>245</v>
      </c>
      <c r="AJ7" s="612" t="s">
        <v>127</v>
      </c>
      <c r="AK7" s="795" t="s">
        <v>1</v>
      </c>
      <c r="AL7" s="12"/>
      <c r="AM7" s="66"/>
      <c r="AN7" s="66"/>
      <c r="AO7" s="163"/>
      <c r="AP7" s="163"/>
      <c r="AQ7" s="163"/>
      <c r="AR7" s="163"/>
      <c r="AS7" s="163"/>
      <c r="AW7" s="66"/>
      <c r="AX7" s="66"/>
      <c r="AY7" s="66"/>
      <c r="AZ7" s="66"/>
      <c r="BA7" s="66"/>
      <c r="BB7" s="66"/>
    </row>
    <row r="8" spans="2:54" s="76" customFormat="1" ht="63" customHeight="1" x14ac:dyDescent="0.3">
      <c r="B8" s="64"/>
      <c r="C8" s="77" t="s">
        <v>10</v>
      </c>
      <c r="D8" s="78" t="s">
        <v>11</v>
      </c>
      <c r="E8" s="79" t="s">
        <v>238</v>
      </c>
      <c r="F8" s="78" t="s">
        <v>37</v>
      </c>
      <c r="G8" s="80" t="s">
        <v>309</v>
      </c>
      <c r="H8" s="84" t="s">
        <v>189</v>
      </c>
      <c r="I8" s="613" t="s">
        <v>131</v>
      </c>
      <c r="J8" s="81" t="str">
        <f>'1. Identificação Ben. Oper.'!D50</f>
        <v>Energia Elétrica</v>
      </c>
      <c r="K8" s="82" t="str">
        <f>IF('1. Identificação Ben. Oper.'!E50="","",'1. Identificação Ben. Oper.'!E50)</f>
        <v>Gás Natural</v>
      </c>
      <c r="L8" s="82" t="str">
        <f>IF('1. Identificação Ben. Oper.'!F50="","",'1. Identificação Ben. Oper.'!F50)</f>
        <v/>
      </c>
      <c r="M8" s="82" t="str">
        <f>IF('1. Identificação Ben. Oper.'!G50="","",'1. Identificação Ben. Oper.'!G50)</f>
        <v/>
      </c>
      <c r="N8" s="82" t="str">
        <f>IF('1. Identificação Ben. Oper.'!H50="","",'1. Identificação Ben. Oper.'!H50)</f>
        <v/>
      </c>
      <c r="O8" s="82" t="s">
        <v>85</v>
      </c>
      <c r="P8" s="82" t="s">
        <v>4</v>
      </c>
      <c r="Q8" s="747" t="s">
        <v>5</v>
      </c>
      <c r="R8" s="614" t="str">
        <f t="shared" ref="R8:W8" si="0">+J8</f>
        <v>Energia Elétrica</v>
      </c>
      <c r="S8" s="82" t="str">
        <f t="shared" si="0"/>
        <v>Gás Natural</v>
      </c>
      <c r="T8" s="82" t="str">
        <f t="shared" si="0"/>
        <v/>
      </c>
      <c r="U8" s="82" t="str">
        <f t="shared" si="0"/>
        <v/>
      </c>
      <c r="V8" s="82" t="str">
        <f t="shared" si="0"/>
        <v/>
      </c>
      <c r="W8" s="82" t="str">
        <f t="shared" si="0"/>
        <v>Total</v>
      </c>
      <c r="X8" s="82" t="s">
        <v>5</v>
      </c>
      <c r="Y8" s="82" t="s">
        <v>6</v>
      </c>
      <c r="Z8" s="82" t="s">
        <v>181</v>
      </c>
      <c r="AA8" s="82" t="s">
        <v>4</v>
      </c>
      <c r="AB8" s="82" t="s">
        <v>7</v>
      </c>
      <c r="AC8" s="80" t="s">
        <v>5</v>
      </c>
      <c r="AD8" s="80" t="s">
        <v>116</v>
      </c>
      <c r="AE8" s="84" t="s">
        <v>186</v>
      </c>
      <c r="AF8" s="747" t="s">
        <v>120</v>
      </c>
      <c r="AG8" s="78" t="s">
        <v>116</v>
      </c>
      <c r="AH8" s="87" t="s">
        <v>116</v>
      </c>
      <c r="AI8" s="82" t="s">
        <v>116</v>
      </c>
      <c r="AJ8" s="82" t="s">
        <v>116</v>
      </c>
      <c r="AK8" s="747" t="s">
        <v>13</v>
      </c>
      <c r="AL8" s="12"/>
      <c r="AM8" s="66"/>
      <c r="AN8" s="66"/>
      <c r="AO8" s="163"/>
      <c r="AP8" s="163"/>
      <c r="AQ8" s="163"/>
      <c r="AR8" s="163"/>
      <c r="AS8" s="163"/>
      <c r="AW8" s="66"/>
      <c r="AX8" s="37"/>
      <c r="AY8" s="66"/>
      <c r="AZ8" s="66"/>
      <c r="BA8" s="66"/>
      <c r="BB8" s="66"/>
    </row>
    <row r="9" spans="2:54" s="76" customFormat="1" ht="36.75" customHeight="1" x14ac:dyDescent="0.3">
      <c r="B9" s="64"/>
      <c r="C9" s="989" t="s">
        <v>48</v>
      </c>
      <c r="D9" s="990"/>
      <c r="E9" s="990"/>
      <c r="F9" s="88"/>
      <c r="G9" s="88"/>
      <c r="H9" s="88"/>
      <c r="I9" s="88"/>
      <c r="J9" s="89"/>
      <c r="K9" s="88"/>
      <c r="L9" s="88"/>
      <c r="M9" s="88"/>
      <c r="N9" s="88"/>
      <c r="O9" s="88"/>
      <c r="P9" s="88"/>
      <c r="Q9" s="90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90"/>
      <c r="AG9" s="88"/>
      <c r="AH9" s="88"/>
      <c r="AI9" s="88"/>
      <c r="AJ9" s="88"/>
      <c r="AK9" s="90"/>
      <c r="AL9" s="12"/>
      <c r="AM9" s="66"/>
      <c r="AN9" s="66"/>
      <c r="AO9" s="163"/>
      <c r="AP9" s="163"/>
      <c r="AQ9" s="163"/>
      <c r="AR9" s="163"/>
      <c r="AS9" s="163"/>
      <c r="AW9" s="39"/>
      <c r="AX9" s="37"/>
      <c r="AY9" s="66"/>
      <c r="AZ9" s="66"/>
      <c r="BA9" s="66"/>
      <c r="BB9" s="66"/>
    </row>
    <row r="10" spans="2:54" ht="30" customHeight="1" x14ac:dyDescent="0.3">
      <c r="B10" s="15"/>
      <c r="C10" s="168">
        <v>1</v>
      </c>
      <c r="D10" s="618"/>
      <c r="E10" s="669"/>
      <c r="F10" s="670"/>
      <c r="G10" s="671"/>
      <c r="H10" s="1035"/>
      <c r="I10" s="499">
        <f>IF(G10="",0,VLOOKUP(F10,'15. Valores-Padrão'!$C$13:$F$17,4,FALSE))</f>
        <v>0</v>
      </c>
      <c r="J10" s="1029"/>
      <c r="K10" s="1032"/>
      <c r="L10" s="1032"/>
      <c r="M10" s="1032"/>
      <c r="N10" s="1032"/>
      <c r="O10" s="1008">
        <f>+SUM(J10:N10)</f>
        <v>0</v>
      </c>
      <c r="P10" s="1020">
        <f>+VLOOKUP($J$8,'16. Fatores de conversão'!$A$6:$I$14,6,FALSE)*J10+VLOOKUP($K$8,'16. Fatores de conversão'!$A$6:$I$14,6,FALSE)*K10+VLOOKUP($L$8,'16. Fatores de conversão'!$A$6:$I$14,6,FALSE)*L10+VLOOKUP($M$8,'16. Fatores de conversão'!$A$6:$I$14,6,FALSE)*M10+VLOOKUP($N$8,'16. Fatores de conversão'!$A$6:$I$14,6,FALSE)*N10</f>
        <v>0</v>
      </c>
      <c r="Q10" s="1023">
        <f>+SUMPRODUCT('1. Identificação Ben. Oper.'!$D$56:$H$56,J10:N10)</f>
        <v>0</v>
      </c>
      <c r="R10" s="1026"/>
      <c r="S10" s="1005"/>
      <c r="T10" s="1005"/>
      <c r="U10" s="1005"/>
      <c r="V10" s="1005"/>
      <c r="W10" s="1008">
        <f>+SUM(R10:V10)</f>
        <v>0</v>
      </c>
      <c r="X10" s="1014">
        <f>+SUMPRODUCT('1. Identificação Ben. Oper.'!$D$56:$H$56,R10:V10)</f>
        <v>0</v>
      </c>
      <c r="Y10" s="1017">
        <f>IF(O10=0,0,W10/O10)</f>
        <v>0</v>
      </c>
      <c r="Z10" s="1020">
        <f>+VLOOKUP($R$8,'16. Fatores de conversão'!$A$6:$I$14,3,FALSE)*R10+VLOOKUP($S$8,'16. Fatores de conversão'!$A$6:$I$14,3,FALSE)*S10+VLOOKUP($T$8,'16. Fatores de conversão'!$A$6:$I$14,3,FALSE)*T10+VLOOKUP($U$8,'16. Fatores de conversão'!$A$6:$I$14,3,FALSE)*U10+VLOOKUP($V$8,'16. Fatores de conversão'!$A$6:$I$14,3,FALSE)*V10</f>
        <v>0</v>
      </c>
      <c r="AA10" s="1020">
        <f>+VLOOKUP($R$8,'16. Fatores de conversão'!$A$6:$I$14,6,FALSE)*R10+VLOOKUP($S$8,'16. Fatores de conversão'!$A$6:$I$14,6,FALSE)*S10+VLOOKUP($T$8,'16. Fatores de conversão'!$A$6:$I$14,6,FALSE)*T10+VLOOKUP($U$8,'16. Fatores de conversão'!$A$6:$I$14,6,FALSE)*U10+VLOOKUP($V$8,'16. Fatores de conversão'!$A$6:$I$14,6,FALSE)*V10</f>
        <v>0</v>
      </c>
      <c r="AB10" s="1020">
        <f>(VLOOKUP($R$8,'16. Fatores de conversão'!$A$6:$I$14,9,FALSE)*R10+VLOOKUP($S$8,'16. Fatores de conversão'!$A$6:$I$14,9,FALSE)*S10+VLOOKUP($T$8,'16. Fatores de conversão'!$A$6:$I$14,9,FALSE)*T10+VLOOKUP($U$8,'16. Fatores de conversão'!$A$6:$I$14,9,FALSE)*U10+VLOOKUP($V$8,'16. Fatores de conversão'!$A$6:$I$14,9,FALSE)*V10)/1000</f>
        <v>0</v>
      </c>
      <c r="AC10" s="630"/>
      <c r="AD10" s="630"/>
      <c r="AE10" s="638"/>
      <c r="AF10" s="796">
        <f t="shared" ref="AF10:AF20" si="1">IF(OR(AD10="",AD10=0),0,IF(OR(AE10="",AE10=0),0,I10+1))</f>
        <v>0</v>
      </c>
      <c r="AG10" s="687"/>
      <c r="AH10" s="687"/>
      <c r="AI10" s="603" t="str">
        <f>IF(F10="","",VLOOKUP(F10,'15. Valores-Padrão'!$C$13:$E$17,3,FALSE))</f>
        <v/>
      </c>
      <c r="AJ10" s="603">
        <f>IF(AG10="",0,IF(AG10&lt;AI10,AG10+AH10,(AI10+(AH10/AG10)*AI10)))</f>
        <v>0</v>
      </c>
      <c r="AK10" s="1011">
        <f>IF(X10=0,0,(AG10+AH10+AG11+AH11++AG12+AH12)/X10)</f>
        <v>0</v>
      </c>
      <c r="AL10" s="12"/>
      <c r="AM10" s="11"/>
      <c r="AN10" s="11"/>
      <c r="AO10" s="163"/>
      <c r="AP10" s="163"/>
      <c r="AQ10" s="163"/>
      <c r="AR10" s="163"/>
      <c r="AS10" s="163"/>
      <c r="AW10" s="11"/>
      <c r="AX10" s="37"/>
      <c r="AY10" s="66"/>
      <c r="AZ10" s="66"/>
      <c r="BA10" s="66"/>
      <c r="BB10" s="11"/>
    </row>
    <row r="11" spans="2:54" ht="30" customHeight="1" x14ac:dyDescent="0.3">
      <c r="B11" s="15"/>
      <c r="C11" s="91">
        <v>2</v>
      </c>
      <c r="D11" s="620"/>
      <c r="E11" s="622"/>
      <c r="F11" s="672"/>
      <c r="G11" s="627"/>
      <c r="H11" s="1036"/>
      <c r="I11" s="499">
        <f>IF(G11="",0,VLOOKUP(F11,'15. Valores-Padrão'!$C$13:$F$17,4,FALSE))</f>
        <v>0</v>
      </c>
      <c r="J11" s="1030"/>
      <c r="K11" s="1033"/>
      <c r="L11" s="1033"/>
      <c r="M11" s="1033"/>
      <c r="N11" s="1033"/>
      <c r="O11" s="1009"/>
      <c r="P11" s="1021"/>
      <c r="Q11" s="1024"/>
      <c r="R11" s="1027"/>
      <c r="S11" s="1006"/>
      <c r="T11" s="1006"/>
      <c r="U11" s="1006"/>
      <c r="V11" s="1006"/>
      <c r="W11" s="1009"/>
      <c r="X11" s="1015"/>
      <c r="Y11" s="1018"/>
      <c r="Z11" s="1021"/>
      <c r="AA11" s="1021"/>
      <c r="AB11" s="1021"/>
      <c r="AC11" s="685"/>
      <c r="AD11" s="630"/>
      <c r="AE11" s="801" t="str">
        <f>IF(OR(G11="",G11=0),"",IF($AE$10="","",$AE$10))</f>
        <v/>
      </c>
      <c r="AF11" s="796">
        <f t="shared" si="1"/>
        <v>0</v>
      </c>
      <c r="AG11" s="630"/>
      <c r="AH11" s="687"/>
      <c r="AI11" s="603" t="str">
        <f>IF(F11="","",VLOOKUP(F11,'15. Valores-Padrão'!$C$13:$E$17,3,FALSE)*G11)</f>
        <v/>
      </c>
      <c r="AJ11" s="603">
        <f t="shared" ref="AJ11:AJ12" si="2">IF(AG11="",0,IF(AG11&lt;AI11,AG11+AH11,(AI11+(AH11/AG11)*AI11)))</f>
        <v>0</v>
      </c>
      <c r="AK11" s="1012"/>
      <c r="AL11" s="12"/>
      <c r="AM11" s="11"/>
      <c r="AN11" s="11"/>
      <c r="AO11" s="163"/>
      <c r="AP11" s="163"/>
      <c r="AQ11" s="163"/>
      <c r="AR11" s="163"/>
      <c r="AS11" s="163"/>
      <c r="AW11" s="11"/>
      <c r="AX11" s="37"/>
      <c r="AY11" s="66"/>
      <c r="AZ11" s="66"/>
      <c r="BA11" s="66"/>
      <c r="BB11" s="11"/>
    </row>
    <row r="12" spans="2:54" ht="30" customHeight="1" x14ac:dyDescent="0.3">
      <c r="B12" s="15"/>
      <c r="C12" s="169">
        <v>3</v>
      </c>
      <c r="D12" s="673"/>
      <c r="E12" s="674"/>
      <c r="F12" s="675"/>
      <c r="G12" s="676"/>
      <c r="H12" s="1037"/>
      <c r="I12" s="499">
        <f>IF(G12="",0,VLOOKUP(F12,'15. Valores-Padrão'!$C$13:$F$17,4,FALSE))</f>
        <v>0</v>
      </c>
      <c r="J12" s="1031"/>
      <c r="K12" s="1034"/>
      <c r="L12" s="1034"/>
      <c r="M12" s="1034"/>
      <c r="N12" s="1034"/>
      <c r="O12" s="1010"/>
      <c r="P12" s="1022"/>
      <c r="Q12" s="1025"/>
      <c r="R12" s="1028"/>
      <c r="S12" s="1007"/>
      <c r="T12" s="1007"/>
      <c r="U12" s="1007"/>
      <c r="V12" s="1007"/>
      <c r="W12" s="1010"/>
      <c r="X12" s="1016"/>
      <c r="Y12" s="1019"/>
      <c r="Z12" s="1022"/>
      <c r="AA12" s="1022"/>
      <c r="AB12" s="1022"/>
      <c r="AC12" s="686"/>
      <c r="AD12" s="686"/>
      <c r="AE12" s="801" t="str">
        <f>IF(OR(G12="",G12=0),"",IF($AE$10="","",$AE$10))</f>
        <v/>
      </c>
      <c r="AF12" s="796">
        <f t="shared" si="1"/>
        <v>0</v>
      </c>
      <c r="AG12" s="686"/>
      <c r="AH12" s="687"/>
      <c r="AI12" s="603" t="str">
        <f>IF(F12="","",VLOOKUP(F12,'15. Valores-Padrão'!$C$13:$E$17,3,FALSE)*G12)</f>
        <v/>
      </c>
      <c r="AJ12" s="603">
        <f t="shared" si="2"/>
        <v>0</v>
      </c>
      <c r="AK12" s="1013"/>
      <c r="AL12" s="12"/>
      <c r="AM12" s="11"/>
      <c r="AN12" s="11"/>
      <c r="AO12" s="163"/>
      <c r="AP12" s="163"/>
      <c r="AQ12" s="163"/>
      <c r="AR12" s="163"/>
      <c r="AS12" s="163"/>
      <c r="AW12" s="11"/>
      <c r="AX12" s="37"/>
      <c r="AY12" s="66"/>
      <c r="AZ12" s="66"/>
      <c r="BA12" s="66"/>
      <c r="BB12" s="11"/>
    </row>
    <row r="13" spans="2:54" ht="30" customHeight="1" x14ac:dyDescent="0.3">
      <c r="B13" s="15"/>
      <c r="C13" s="989" t="s">
        <v>49</v>
      </c>
      <c r="D13" s="990"/>
      <c r="E13" s="990"/>
      <c r="F13" s="88"/>
      <c r="G13" s="88"/>
      <c r="H13" s="88"/>
      <c r="I13" s="88"/>
      <c r="J13" s="89"/>
      <c r="K13" s="88"/>
      <c r="L13" s="88"/>
      <c r="M13" s="88"/>
      <c r="N13" s="88"/>
      <c r="O13" s="88"/>
      <c r="P13" s="88"/>
      <c r="Q13" s="90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90"/>
      <c r="AL13" s="12"/>
      <c r="AM13" s="11"/>
      <c r="AN13" s="11"/>
      <c r="AO13" s="163"/>
      <c r="AP13" s="163"/>
      <c r="AQ13" s="163"/>
      <c r="AR13" s="163"/>
      <c r="AS13" s="163"/>
      <c r="AW13" s="11"/>
      <c r="AX13" s="95"/>
      <c r="AY13" s="66"/>
      <c r="AZ13" s="66"/>
      <c r="BA13" s="66"/>
      <c r="BB13" s="11"/>
    </row>
    <row r="14" spans="2:54" ht="30" customHeight="1" x14ac:dyDescent="0.25">
      <c r="B14" s="15"/>
      <c r="C14" s="168">
        <v>4</v>
      </c>
      <c r="D14" s="618"/>
      <c r="E14" s="669"/>
      <c r="F14" s="677"/>
      <c r="G14" s="678"/>
      <c r="H14" s="678"/>
      <c r="I14" s="691"/>
      <c r="J14" s="695"/>
      <c r="K14" s="679"/>
      <c r="L14" s="679"/>
      <c r="M14" s="679"/>
      <c r="N14" s="679"/>
      <c r="O14" s="93">
        <f t="shared" ref="O14:O20" si="3">+SUM(J14:N14)</f>
        <v>0</v>
      </c>
      <c r="P14" s="94">
        <f>+VLOOKUP($J$8,'16. Fatores de conversão'!$A$6:$I$14,6,FALSE)*J14+VLOOKUP($K$8,'16. Fatores de conversão'!$A$6:$I$14,6,FALSE)*K14+VLOOKUP($L$8,'16. Fatores de conversão'!$A$6:$I$14,6,FALSE)*L14+VLOOKUP($M$8,'16. Fatores de conversão'!$A$6:$I$14,6,FALSE)*M14+VLOOKUP($N$8,'16. Fatores de conversão'!$A$6:$I$14,6,FALSE)*N14</f>
        <v>0</v>
      </c>
      <c r="Q14" s="744">
        <f>+SUMPRODUCT('1. Identificação Ben. Oper.'!$D$56:$H$56,J14:N14)</f>
        <v>0</v>
      </c>
      <c r="R14" s="693"/>
      <c r="S14" s="682"/>
      <c r="T14" s="682"/>
      <c r="U14" s="682"/>
      <c r="V14" s="682"/>
      <c r="W14" s="93">
        <f t="shared" ref="W14:W20" si="4">+SUM(R14:V14)</f>
        <v>0</v>
      </c>
      <c r="X14" s="603">
        <f>+SUMPRODUCT('1. Identificação Ben. Oper.'!$D$56:$H$56,R14:V14)</f>
        <v>0</v>
      </c>
      <c r="Y14" s="604">
        <f t="shared" ref="Y14:Y20" si="5">IF(O14=0,0,W14/O14)</f>
        <v>0</v>
      </c>
      <c r="Z14" s="94">
        <f>+VLOOKUP($R$8,'16. Fatores de conversão'!$A$6:$I$14,3,FALSE)*R14+VLOOKUP($S$8,'16. Fatores de conversão'!$A$6:$I$14,3,FALSE)*S14+VLOOKUP($T$8,'16. Fatores de conversão'!$A$6:$I$14,3,FALSE)*T14+VLOOKUP($U$8,'16. Fatores de conversão'!$A$6:$I$14,3,FALSE)*U14+VLOOKUP($V$8,'16. Fatores de conversão'!$A$6:$I$14,3,FALSE)*V14</f>
        <v>0</v>
      </c>
      <c r="AA14" s="94">
        <f>+VLOOKUP($R$8,'16. Fatores de conversão'!$A$6:$I$14,6,FALSE)*R14+VLOOKUP($S$8,'16. Fatores de conversão'!$A$6:$I$14,6,FALSE)*S14+VLOOKUP($T$8,'16. Fatores de conversão'!$A$6:$I$14,6,FALSE)*T14+VLOOKUP($U$8,'16. Fatores de conversão'!$A$6:$I$14,6,FALSE)*U14+VLOOKUP($V$8,'16. Fatores de conversão'!$A$6:$I$14,6,FALSE)*V14</f>
        <v>0</v>
      </c>
      <c r="AB14" s="94">
        <f>(VLOOKUP($R$8,'16. Fatores de conversão'!$A$6:$I$14,9,FALSE)*R14+VLOOKUP($S$8,'16. Fatores de conversão'!$A$6:$I$14,9,FALSE)*S14+VLOOKUP($T$8,'16. Fatores de conversão'!$A$6:$I$14,9,FALSE)*T14+VLOOKUP($U$8,'16. Fatores de conversão'!$A$6:$I$14,9,FALSE)*U14+VLOOKUP($V$8,'16. Fatores de conversão'!$A$6:$I$14,9,FALSE)*V14)/1000</f>
        <v>0</v>
      </c>
      <c r="AC14" s="687"/>
      <c r="AD14" s="687"/>
      <c r="AE14" s="688"/>
      <c r="AF14" s="796">
        <f t="shared" si="1"/>
        <v>0</v>
      </c>
      <c r="AG14" s="630"/>
      <c r="AH14" s="630"/>
      <c r="AI14" s="830" t="s">
        <v>196</v>
      </c>
      <c r="AJ14" s="603">
        <f t="shared" ref="AJ14:AJ20" si="6">IF(AG14="",0,AG14+AH14)</f>
        <v>0</v>
      </c>
      <c r="AK14" s="788">
        <f>IF(X14=0,0,(AG14+AH14)/X14)</f>
        <v>0</v>
      </c>
      <c r="AL14" s="12"/>
      <c r="AM14" s="11"/>
      <c r="AN14" s="11"/>
      <c r="AO14" s="163"/>
      <c r="AP14" s="163"/>
      <c r="AQ14" s="163"/>
      <c r="AR14" s="163"/>
      <c r="AS14" s="163"/>
      <c r="AW14" s="11"/>
      <c r="AX14" s="95"/>
      <c r="AY14" s="66"/>
      <c r="AZ14" s="66"/>
      <c r="BA14" s="66"/>
      <c r="BB14" s="11"/>
    </row>
    <row r="15" spans="2:54" ht="30" customHeight="1" x14ac:dyDescent="0.25">
      <c r="B15" s="15"/>
      <c r="C15" s="91">
        <v>5</v>
      </c>
      <c r="D15" s="620"/>
      <c r="E15" s="669"/>
      <c r="F15" s="648"/>
      <c r="G15" s="627"/>
      <c r="H15" s="627"/>
      <c r="I15" s="658"/>
      <c r="J15" s="696"/>
      <c r="K15" s="680"/>
      <c r="L15" s="680"/>
      <c r="M15" s="680"/>
      <c r="N15" s="680"/>
      <c r="O15" s="93">
        <f t="shared" si="3"/>
        <v>0</v>
      </c>
      <c r="P15" s="94">
        <f>+VLOOKUP($J$8,'16. Fatores de conversão'!$A$6:$I$14,6,FALSE)*J15+VLOOKUP($K$8,'16. Fatores de conversão'!$A$6:$I$14,6,FALSE)*K15+VLOOKUP($L$8,'16. Fatores de conversão'!$A$6:$I$14,6,FALSE)*L15+VLOOKUP($M$8,'16. Fatores de conversão'!$A$6:$I$14,6,FALSE)*M15+VLOOKUP($N$8,'16. Fatores de conversão'!$A$6:$I$14,6,FALSE)*N15</f>
        <v>0</v>
      </c>
      <c r="Q15" s="744">
        <f>+SUMPRODUCT('1. Identificação Ben. Oper.'!$D$56:$H$56,J15:N15)</f>
        <v>0</v>
      </c>
      <c r="R15" s="693"/>
      <c r="S15" s="683"/>
      <c r="T15" s="683"/>
      <c r="U15" s="683"/>
      <c r="V15" s="683"/>
      <c r="W15" s="93">
        <f t="shared" si="4"/>
        <v>0</v>
      </c>
      <c r="X15" s="603">
        <f>+SUMPRODUCT('1. Identificação Ben. Oper.'!$D$56:$H$56,R15:V15)</f>
        <v>0</v>
      </c>
      <c r="Y15" s="604">
        <f t="shared" si="5"/>
        <v>0</v>
      </c>
      <c r="Z15" s="94">
        <f>+VLOOKUP($R$8,'16. Fatores de conversão'!$A$6:$I$14,3,FALSE)*R15+VLOOKUP($S$8,'16. Fatores de conversão'!$A$6:$I$14,3,FALSE)*S15+VLOOKUP($T$8,'16. Fatores de conversão'!$A$6:$I$14,3,FALSE)*T15+VLOOKUP($U$8,'16. Fatores de conversão'!$A$6:$I$14,3,FALSE)*U15+VLOOKUP($V$8,'16. Fatores de conversão'!$A$6:$I$14,3,FALSE)*V15</f>
        <v>0</v>
      </c>
      <c r="AA15" s="94">
        <f>+VLOOKUP($R$8,'16. Fatores de conversão'!$A$6:$I$14,6,FALSE)*R15+VLOOKUP($S$8,'16. Fatores de conversão'!$A$6:$I$14,6,FALSE)*S15+VLOOKUP($T$8,'16. Fatores de conversão'!$A$6:$I$14,6,FALSE)*T15+VLOOKUP($U$8,'16. Fatores de conversão'!$A$6:$I$14,6,FALSE)*U15+VLOOKUP($V$8,'16. Fatores de conversão'!$A$6:$I$14,6,FALSE)*V15</f>
        <v>0</v>
      </c>
      <c r="AB15" s="94">
        <f>(VLOOKUP($R$8,'16. Fatores de conversão'!$A$6:$I$14,9,FALSE)*R15+VLOOKUP($S$8,'16. Fatores de conversão'!$A$6:$I$14,9,FALSE)*S15+VLOOKUP($T$8,'16. Fatores de conversão'!$A$6:$I$14,9,FALSE)*T15+VLOOKUP($U$8,'16. Fatores de conversão'!$A$6:$I$14,9,FALSE)*U15+VLOOKUP($V$8,'16. Fatores de conversão'!$A$6:$I$14,9,FALSE)*V15)/1000</f>
        <v>0</v>
      </c>
      <c r="AC15" s="630"/>
      <c r="AD15" s="630"/>
      <c r="AE15" s="689"/>
      <c r="AF15" s="796">
        <f t="shared" si="1"/>
        <v>0</v>
      </c>
      <c r="AG15" s="630"/>
      <c r="AH15" s="630"/>
      <c r="AI15" s="830" t="s">
        <v>196</v>
      </c>
      <c r="AJ15" s="603">
        <f t="shared" si="6"/>
        <v>0</v>
      </c>
      <c r="AK15" s="788">
        <f t="shared" ref="AK15:AK21" si="7">IF(X15=0,0,(AG15+AH15)/X15)</f>
        <v>0</v>
      </c>
      <c r="AL15" s="12"/>
      <c r="AM15" s="11"/>
      <c r="AN15" s="11"/>
      <c r="AO15" s="163"/>
      <c r="AP15" s="163"/>
      <c r="AQ15" s="163"/>
      <c r="AR15" s="163"/>
      <c r="AS15" s="163"/>
      <c r="AW15" s="11"/>
      <c r="AX15" s="95"/>
      <c r="AY15" s="66"/>
      <c r="AZ15" s="66"/>
      <c r="BA15" s="66"/>
      <c r="BB15" s="11"/>
    </row>
    <row r="16" spans="2:54" ht="30" customHeight="1" x14ac:dyDescent="0.25">
      <c r="B16" s="15"/>
      <c r="C16" s="91">
        <v>6</v>
      </c>
      <c r="D16" s="620"/>
      <c r="E16" s="669"/>
      <c r="F16" s="648"/>
      <c r="G16" s="627"/>
      <c r="H16" s="627"/>
      <c r="I16" s="658"/>
      <c r="J16" s="696"/>
      <c r="K16" s="680"/>
      <c r="L16" s="680"/>
      <c r="M16" s="680"/>
      <c r="N16" s="680"/>
      <c r="O16" s="93">
        <f t="shared" si="3"/>
        <v>0</v>
      </c>
      <c r="P16" s="94">
        <f>+VLOOKUP($J$8,'16. Fatores de conversão'!$A$6:$I$14,6,FALSE)*J16+VLOOKUP($K$8,'16. Fatores de conversão'!$A$6:$I$14,6,FALSE)*K16+VLOOKUP($L$8,'16. Fatores de conversão'!$A$6:$I$14,6,FALSE)*L16+VLOOKUP($M$8,'16. Fatores de conversão'!$A$6:$I$14,6,FALSE)*M16+VLOOKUP($N$8,'16. Fatores de conversão'!$A$6:$I$14,6,FALSE)*N16</f>
        <v>0</v>
      </c>
      <c r="Q16" s="744">
        <f>+SUMPRODUCT('1. Identificação Ben. Oper.'!$D$56:$H$56,J16:N16)</f>
        <v>0</v>
      </c>
      <c r="R16" s="693"/>
      <c r="S16" s="683"/>
      <c r="T16" s="683"/>
      <c r="U16" s="683"/>
      <c r="V16" s="683"/>
      <c r="W16" s="93">
        <f t="shared" si="4"/>
        <v>0</v>
      </c>
      <c r="X16" s="603">
        <f>+SUMPRODUCT('1. Identificação Ben. Oper.'!$D$56:$H$56,R16:V16)</f>
        <v>0</v>
      </c>
      <c r="Y16" s="604">
        <f t="shared" si="5"/>
        <v>0</v>
      </c>
      <c r="Z16" s="94">
        <f>+VLOOKUP($R$8,'16. Fatores de conversão'!$A$6:$I$14,3,FALSE)*R16+VLOOKUP($S$8,'16. Fatores de conversão'!$A$6:$I$14,3,FALSE)*S16+VLOOKUP($T$8,'16. Fatores de conversão'!$A$6:$I$14,3,FALSE)*T16+VLOOKUP($U$8,'16. Fatores de conversão'!$A$6:$I$14,3,FALSE)*U16+VLOOKUP($V$8,'16. Fatores de conversão'!$A$6:$I$14,3,FALSE)*V16</f>
        <v>0</v>
      </c>
      <c r="AA16" s="94">
        <f>+VLOOKUP($R$8,'16. Fatores de conversão'!$A$6:$I$14,6,FALSE)*R16+VLOOKUP($S$8,'16. Fatores de conversão'!$A$6:$I$14,6,FALSE)*S16+VLOOKUP($T$8,'16. Fatores de conversão'!$A$6:$I$14,6,FALSE)*T16+VLOOKUP($U$8,'16. Fatores de conversão'!$A$6:$I$14,6,FALSE)*U16+VLOOKUP($V$8,'16. Fatores de conversão'!$A$6:$I$14,6,FALSE)*V16</f>
        <v>0</v>
      </c>
      <c r="AB16" s="94">
        <f>(VLOOKUP($R$8,'16. Fatores de conversão'!$A$6:$I$14,9,FALSE)*R16+VLOOKUP($S$8,'16. Fatores de conversão'!$A$6:$I$14,9,FALSE)*S16+VLOOKUP($T$8,'16. Fatores de conversão'!$A$6:$I$14,9,FALSE)*T16+VLOOKUP($U$8,'16. Fatores de conversão'!$A$6:$I$14,9,FALSE)*U16+VLOOKUP($V$8,'16. Fatores de conversão'!$A$6:$I$14,9,FALSE)*V16)/1000</f>
        <v>0</v>
      </c>
      <c r="AC16" s="630"/>
      <c r="AD16" s="630"/>
      <c r="AE16" s="689"/>
      <c r="AF16" s="796">
        <f t="shared" si="1"/>
        <v>0</v>
      </c>
      <c r="AG16" s="630"/>
      <c r="AH16" s="630"/>
      <c r="AI16" s="830" t="s">
        <v>196</v>
      </c>
      <c r="AJ16" s="603">
        <f t="shared" si="6"/>
        <v>0</v>
      </c>
      <c r="AK16" s="788">
        <f t="shared" si="7"/>
        <v>0</v>
      </c>
      <c r="AL16" s="12"/>
      <c r="AM16" s="11"/>
      <c r="AN16" s="11"/>
      <c r="AO16" s="163"/>
      <c r="AP16" s="163"/>
      <c r="AQ16" s="163"/>
      <c r="AR16" s="163"/>
      <c r="AS16" s="163"/>
      <c r="AW16" s="11"/>
      <c r="AX16" s="95"/>
      <c r="AY16" s="66"/>
      <c r="AZ16" s="66"/>
      <c r="BA16" s="66"/>
      <c r="BB16" s="11"/>
    </row>
    <row r="17" spans="2:54" ht="30" customHeight="1" x14ac:dyDescent="0.25">
      <c r="B17" s="15"/>
      <c r="C17" s="91">
        <v>7</v>
      </c>
      <c r="D17" s="620"/>
      <c r="E17" s="669"/>
      <c r="F17" s="648"/>
      <c r="G17" s="627"/>
      <c r="H17" s="627"/>
      <c r="I17" s="658"/>
      <c r="J17" s="696"/>
      <c r="K17" s="680"/>
      <c r="L17" s="680"/>
      <c r="M17" s="680"/>
      <c r="N17" s="680"/>
      <c r="O17" s="93">
        <f t="shared" si="3"/>
        <v>0</v>
      </c>
      <c r="P17" s="94">
        <f>+VLOOKUP($J$8,'16. Fatores de conversão'!$A$6:$I$14,6,FALSE)*J17+VLOOKUP($K$8,'16. Fatores de conversão'!$A$6:$I$14,6,FALSE)*K17+VLOOKUP($L$8,'16. Fatores de conversão'!$A$6:$I$14,6,FALSE)*L17+VLOOKUP($M$8,'16. Fatores de conversão'!$A$6:$I$14,6,FALSE)*M17+VLOOKUP($N$8,'16. Fatores de conversão'!$A$6:$I$14,6,FALSE)*N17</f>
        <v>0</v>
      </c>
      <c r="Q17" s="744">
        <f>+SUMPRODUCT('1. Identificação Ben. Oper.'!$D$56:$H$56,J17:N17)</f>
        <v>0</v>
      </c>
      <c r="R17" s="693"/>
      <c r="S17" s="683"/>
      <c r="T17" s="683"/>
      <c r="U17" s="683"/>
      <c r="V17" s="683"/>
      <c r="W17" s="93">
        <f t="shared" si="4"/>
        <v>0</v>
      </c>
      <c r="X17" s="603">
        <f>+SUMPRODUCT('1. Identificação Ben. Oper.'!$D$56:$H$56,R17:V17)</f>
        <v>0</v>
      </c>
      <c r="Y17" s="604">
        <f t="shared" si="5"/>
        <v>0</v>
      </c>
      <c r="Z17" s="94">
        <f>+VLOOKUP($R$8,'16. Fatores de conversão'!$A$6:$I$14,3,FALSE)*R17+VLOOKUP($S$8,'16. Fatores de conversão'!$A$6:$I$14,3,FALSE)*S17+VLOOKUP($T$8,'16. Fatores de conversão'!$A$6:$I$14,3,FALSE)*T17+VLOOKUP($U$8,'16. Fatores de conversão'!$A$6:$I$14,3,FALSE)*U17+VLOOKUP($V$8,'16. Fatores de conversão'!$A$6:$I$14,3,FALSE)*V17</f>
        <v>0</v>
      </c>
      <c r="AA17" s="94">
        <f>+VLOOKUP($R$8,'16. Fatores de conversão'!$A$6:$I$14,6,FALSE)*R17+VLOOKUP($S$8,'16. Fatores de conversão'!$A$6:$I$14,6,FALSE)*S17+VLOOKUP($T$8,'16. Fatores de conversão'!$A$6:$I$14,6,FALSE)*T17+VLOOKUP($U$8,'16. Fatores de conversão'!$A$6:$I$14,6,FALSE)*U17+VLOOKUP($V$8,'16. Fatores de conversão'!$A$6:$I$14,6,FALSE)*V17</f>
        <v>0</v>
      </c>
      <c r="AB17" s="94">
        <f>(VLOOKUP($R$8,'16. Fatores de conversão'!$A$6:$I$14,9,FALSE)*R17+VLOOKUP($S$8,'16. Fatores de conversão'!$A$6:$I$14,9,FALSE)*S17+VLOOKUP($T$8,'16. Fatores de conversão'!$A$6:$I$14,9,FALSE)*T17+VLOOKUP($U$8,'16. Fatores de conversão'!$A$6:$I$14,9,FALSE)*U17+VLOOKUP($V$8,'16. Fatores de conversão'!$A$6:$I$14,9,FALSE)*V17)/1000</f>
        <v>0</v>
      </c>
      <c r="AC17" s="630"/>
      <c r="AD17" s="630"/>
      <c r="AE17" s="689"/>
      <c r="AF17" s="796">
        <f t="shared" si="1"/>
        <v>0</v>
      </c>
      <c r="AG17" s="630"/>
      <c r="AH17" s="630"/>
      <c r="AI17" s="830" t="s">
        <v>196</v>
      </c>
      <c r="AJ17" s="603">
        <f t="shared" si="6"/>
        <v>0</v>
      </c>
      <c r="AK17" s="788">
        <f t="shared" si="7"/>
        <v>0</v>
      </c>
      <c r="AL17" s="12"/>
      <c r="AM17" s="11"/>
      <c r="AN17" s="11"/>
      <c r="AO17" s="163"/>
      <c r="AP17" s="163"/>
      <c r="AQ17" s="163"/>
      <c r="AR17" s="163"/>
      <c r="AS17" s="163"/>
      <c r="AW17" s="11"/>
      <c r="AX17" s="95"/>
      <c r="AY17" s="66"/>
      <c r="AZ17" s="66"/>
      <c r="BA17" s="66"/>
      <c r="BB17" s="11"/>
    </row>
    <row r="18" spans="2:54" ht="30" customHeight="1" x14ac:dyDescent="0.3">
      <c r="B18" s="15"/>
      <c r="C18" s="91">
        <v>8</v>
      </c>
      <c r="D18" s="620"/>
      <c r="E18" s="669"/>
      <c r="F18" s="648"/>
      <c r="G18" s="627"/>
      <c r="H18" s="627"/>
      <c r="I18" s="658"/>
      <c r="J18" s="696"/>
      <c r="K18" s="680"/>
      <c r="L18" s="680"/>
      <c r="M18" s="680"/>
      <c r="N18" s="680"/>
      <c r="O18" s="93">
        <f t="shared" si="3"/>
        <v>0</v>
      </c>
      <c r="P18" s="94">
        <f>+VLOOKUP($J$8,'16. Fatores de conversão'!$A$6:$I$14,6,FALSE)*J18+VLOOKUP($K$8,'16. Fatores de conversão'!$A$6:$I$14,6,FALSE)*K18+VLOOKUP($L$8,'16. Fatores de conversão'!$A$6:$I$14,6,FALSE)*L18+VLOOKUP($M$8,'16. Fatores de conversão'!$A$6:$I$14,6,FALSE)*M18+VLOOKUP($N$8,'16. Fatores de conversão'!$A$6:$I$14,6,FALSE)*N18</f>
        <v>0</v>
      </c>
      <c r="Q18" s="744">
        <f>+SUMPRODUCT('1. Identificação Ben. Oper.'!$D$56:$H$56,J18:N18)</f>
        <v>0</v>
      </c>
      <c r="R18" s="693"/>
      <c r="S18" s="683"/>
      <c r="T18" s="683"/>
      <c r="U18" s="683"/>
      <c r="V18" s="683"/>
      <c r="W18" s="93">
        <f t="shared" si="4"/>
        <v>0</v>
      </c>
      <c r="X18" s="603">
        <f>+SUMPRODUCT('1. Identificação Ben. Oper.'!$D$56:$H$56,R18:V18)</f>
        <v>0</v>
      </c>
      <c r="Y18" s="604">
        <f t="shared" si="5"/>
        <v>0</v>
      </c>
      <c r="Z18" s="94">
        <f>+VLOOKUP($R$8,'16. Fatores de conversão'!$A$6:$I$14,3,FALSE)*R18+VLOOKUP($S$8,'16. Fatores de conversão'!$A$6:$I$14,3,FALSE)*S18+VLOOKUP($T$8,'16. Fatores de conversão'!$A$6:$I$14,3,FALSE)*T18+VLOOKUP($U$8,'16. Fatores de conversão'!$A$6:$I$14,3,FALSE)*U18+VLOOKUP($V$8,'16. Fatores de conversão'!$A$6:$I$14,3,FALSE)*V18</f>
        <v>0</v>
      </c>
      <c r="AA18" s="94">
        <f>+VLOOKUP($R$8,'16. Fatores de conversão'!$A$6:$I$14,6,FALSE)*R18+VLOOKUP($S$8,'16. Fatores de conversão'!$A$6:$I$14,6,FALSE)*S18+VLOOKUP($T$8,'16. Fatores de conversão'!$A$6:$I$14,6,FALSE)*T18+VLOOKUP($U$8,'16. Fatores de conversão'!$A$6:$I$14,6,FALSE)*U18+VLOOKUP($V$8,'16. Fatores de conversão'!$A$6:$I$14,6,FALSE)*V18</f>
        <v>0</v>
      </c>
      <c r="AB18" s="94">
        <f>(VLOOKUP($R$8,'16. Fatores de conversão'!$A$6:$I$14,9,FALSE)*R18+VLOOKUP($S$8,'16. Fatores de conversão'!$A$6:$I$14,9,FALSE)*S18+VLOOKUP($T$8,'16. Fatores de conversão'!$A$6:$I$14,9,FALSE)*T18+VLOOKUP($U$8,'16. Fatores de conversão'!$A$6:$I$14,9,FALSE)*U18+VLOOKUP($V$8,'16. Fatores de conversão'!$A$6:$I$14,9,FALSE)*V18)/1000</f>
        <v>0</v>
      </c>
      <c r="AC18" s="630"/>
      <c r="AD18" s="630"/>
      <c r="AE18" s="689"/>
      <c r="AF18" s="796">
        <f t="shared" si="1"/>
        <v>0</v>
      </c>
      <c r="AG18" s="630"/>
      <c r="AH18" s="630"/>
      <c r="AI18" s="830" t="s">
        <v>196</v>
      </c>
      <c r="AJ18" s="603">
        <f t="shared" si="6"/>
        <v>0</v>
      </c>
      <c r="AK18" s="788">
        <f t="shared" si="7"/>
        <v>0</v>
      </c>
      <c r="AL18" s="12"/>
      <c r="AM18" s="11"/>
      <c r="AN18" s="11"/>
      <c r="AO18" s="163"/>
      <c r="AP18" s="163"/>
      <c r="AQ18" s="163"/>
      <c r="AR18" s="163"/>
      <c r="AS18" s="163"/>
      <c r="AW18" s="11"/>
      <c r="AX18" s="95"/>
      <c r="AY18" s="66"/>
      <c r="AZ18" s="66"/>
      <c r="BA18" s="66"/>
      <c r="BB18" s="11"/>
    </row>
    <row r="19" spans="2:54" ht="30" customHeight="1" x14ac:dyDescent="0.3">
      <c r="B19" s="15"/>
      <c r="C19" s="91">
        <v>9</v>
      </c>
      <c r="D19" s="620"/>
      <c r="E19" s="669"/>
      <c r="F19" s="648"/>
      <c r="G19" s="627"/>
      <c r="H19" s="627"/>
      <c r="I19" s="658"/>
      <c r="J19" s="696"/>
      <c r="K19" s="680"/>
      <c r="L19" s="680"/>
      <c r="M19" s="680"/>
      <c r="N19" s="680"/>
      <c r="O19" s="93">
        <f t="shared" si="3"/>
        <v>0</v>
      </c>
      <c r="P19" s="94">
        <f>+VLOOKUP($J$8,'16. Fatores de conversão'!$A$6:$I$14,6,FALSE)*J19+VLOOKUP($K$8,'16. Fatores de conversão'!$A$6:$I$14,6,FALSE)*K19+VLOOKUP($L$8,'16. Fatores de conversão'!$A$6:$I$14,6,FALSE)*L19+VLOOKUP($M$8,'16. Fatores de conversão'!$A$6:$I$14,6,FALSE)*M19+VLOOKUP($N$8,'16. Fatores de conversão'!$A$6:$I$14,6,FALSE)*N19</f>
        <v>0</v>
      </c>
      <c r="Q19" s="744">
        <f>+SUMPRODUCT('1. Identificação Ben. Oper.'!$D$56:$H$56,J19:N19)</f>
        <v>0</v>
      </c>
      <c r="R19" s="693"/>
      <c r="S19" s="683"/>
      <c r="T19" s="683"/>
      <c r="U19" s="683"/>
      <c r="V19" s="683"/>
      <c r="W19" s="93">
        <f t="shared" si="4"/>
        <v>0</v>
      </c>
      <c r="X19" s="603">
        <f>+SUMPRODUCT('1. Identificação Ben. Oper.'!$D$56:$H$56,R19:V19)</f>
        <v>0</v>
      </c>
      <c r="Y19" s="604">
        <f t="shared" si="5"/>
        <v>0</v>
      </c>
      <c r="Z19" s="94">
        <f>+VLOOKUP($R$8,'16. Fatores de conversão'!$A$6:$I$14,3,FALSE)*R19+VLOOKUP($S$8,'16. Fatores de conversão'!$A$6:$I$14,3,FALSE)*S19+VLOOKUP($T$8,'16. Fatores de conversão'!$A$6:$I$14,3,FALSE)*T19+VLOOKUP($U$8,'16. Fatores de conversão'!$A$6:$I$14,3,FALSE)*U19+VLOOKUP($V$8,'16. Fatores de conversão'!$A$6:$I$14,3,FALSE)*V19</f>
        <v>0</v>
      </c>
      <c r="AA19" s="94">
        <f>+VLOOKUP($R$8,'16. Fatores de conversão'!$A$6:$I$14,6,FALSE)*R19+VLOOKUP($S$8,'16. Fatores de conversão'!$A$6:$I$14,6,FALSE)*S19+VLOOKUP($T$8,'16. Fatores de conversão'!$A$6:$I$14,6,FALSE)*T19+VLOOKUP($U$8,'16. Fatores de conversão'!$A$6:$I$14,6,FALSE)*U19+VLOOKUP($V$8,'16. Fatores de conversão'!$A$6:$I$14,6,FALSE)*V19</f>
        <v>0</v>
      </c>
      <c r="AB19" s="94">
        <f>(VLOOKUP($R$8,'16. Fatores de conversão'!$A$6:$I$14,9,FALSE)*R19+VLOOKUP($S$8,'16. Fatores de conversão'!$A$6:$I$14,9,FALSE)*S19+VLOOKUP($T$8,'16. Fatores de conversão'!$A$6:$I$14,9,FALSE)*T19+VLOOKUP($U$8,'16. Fatores de conversão'!$A$6:$I$14,9,FALSE)*U19+VLOOKUP($V$8,'16. Fatores de conversão'!$A$6:$I$14,9,FALSE)*V19)/1000</f>
        <v>0</v>
      </c>
      <c r="AC19" s="630"/>
      <c r="AD19" s="630"/>
      <c r="AE19" s="689"/>
      <c r="AF19" s="796">
        <f t="shared" si="1"/>
        <v>0</v>
      </c>
      <c r="AG19" s="630"/>
      <c r="AH19" s="630"/>
      <c r="AI19" s="830" t="s">
        <v>196</v>
      </c>
      <c r="AJ19" s="603">
        <f t="shared" si="6"/>
        <v>0</v>
      </c>
      <c r="AK19" s="788">
        <f t="shared" si="7"/>
        <v>0</v>
      </c>
      <c r="AL19" s="12"/>
      <c r="AM19" s="11"/>
      <c r="AN19" s="11"/>
      <c r="AO19" s="163"/>
      <c r="AP19" s="163"/>
      <c r="AQ19" s="163"/>
      <c r="AR19" s="163"/>
      <c r="AS19" s="163"/>
      <c r="AW19" s="11"/>
      <c r="AX19" s="95"/>
      <c r="AY19" s="66"/>
      <c r="AZ19" s="66"/>
      <c r="BA19" s="66"/>
      <c r="BB19" s="11"/>
    </row>
    <row r="20" spans="2:54" ht="30" customHeight="1" thickBot="1" x14ac:dyDescent="0.35">
      <c r="B20" s="15"/>
      <c r="C20" s="97">
        <v>10</v>
      </c>
      <c r="D20" s="662"/>
      <c r="E20" s="662"/>
      <c r="F20" s="652"/>
      <c r="G20" s="647"/>
      <c r="H20" s="647"/>
      <c r="I20" s="692"/>
      <c r="J20" s="697"/>
      <c r="K20" s="681"/>
      <c r="L20" s="681"/>
      <c r="M20" s="681"/>
      <c r="N20" s="681"/>
      <c r="O20" s="93">
        <f t="shared" si="3"/>
        <v>0</v>
      </c>
      <c r="P20" s="94">
        <f>+VLOOKUP($J$8,'16. Fatores de conversão'!$A$6:$I$14,6,FALSE)*J20+VLOOKUP($K$8,'16. Fatores de conversão'!$A$6:$I$14,6,FALSE)*K20+VLOOKUP($L$8,'16. Fatores de conversão'!$A$6:$I$14,6,FALSE)*L20+VLOOKUP($M$8,'16. Fatores de conversão'!$A$6:$I$14,6,FALSE)*M20+VLOOKUP($N$8,'16. Fatores de conversão'!$A$6:$I$14,6,FALSE)*N20</f>
        <v>0</v>
      </c>
      <c r="Q20" s="744">
        <f>+SUMPRODUCT('1. Identificação Ben. Oper.'!$D$56:$H$56,J20:N20)</f>
        <v>0</v>
      </c>
      <c r="R20" s="694"/>
      <c r="S20" s="684"/>
      <c r="T20" s="684"/>
      <c r="U20" s="684"/>
      <c r="V20" s="684"/>
      <c r="W20" s="93">
        <f t="shared" si="4"/>
        <v>0</v>
      </c>
      <c r="X20" s="603">
        <f>+SUMPRODUCT('1. Identificação Ben. Oper.'!$D$56:$H$56,R20:V20)</f>
        <v>0</v>
      </c>
      <c r="Y20" s="604">
        <f t="shared" si="5"/>
        <v>0</v>
      </c>
      <c r="Z20" s="94">
        <f>+VLOOKUP($R$8,'16. Fatores de conversão'!$A$6:$I$14,3,FALSE)*R20+VLOOKUP($S$8,'16. Fatores de conversão'!$A$6:$I$14,3,FALSE)*S20+VLOOKUP($T$8,'16. Fatores de conversão'!$A$6:$I$14,3,FALSE)*T20+VLOOKUP($U$8,'16. Fatores de conversão'!$A$6:$I$14,3,FALSE)*U20+VLOOKUP($V$8,'16. Fatores de conversão'!$A$6:$I$14,3,FALSE)*V20</f>
        <v>0</v>
      </c>
      <c r="AA20" s="94">
        <f>+VLOOKUP($R$8,'16. Fatores de conversão'!$A$6:$I$14,6,FALSE)*R20+VLOOKUP($S$8,'16. Fatores de conversão'!$A$6:$I$14,6,FALSE)*S20+VLOOKUP($T$8,'16. Fatores de conversão'!$A$6:$I$14,6,FALSE)*T20+VLOOKUP($U$8,'16. Fatores de conversão'!$A$6:$I$14,6,FALSE)*U20+VLOOKUP($V$8,'16. Fatores de conversão'!$A$6:$I$14,6,FALSE)*V20</f>
        <v>0</v>
      </c>
      <c r="AB20" s="94">
        <f>(VLOOKUP($R$8,'16. Fatores de conversão'!$A$6:$I$14,9,FALSE)*R20+VLOOKUP($S$8,'16. Fatores de conversão'!$A$6:$I$14,9,FALSE)*S20+VLOOKUP($T$8,'16. Fatores de conversão'!$A$6:$I$14,9,FALSE)*T20+VLOOKUP($U$8,'16. Fatores de conversão'!$A$6:$I$14,9,FALSE)*U20+VLOOKUP($V$8,'16. Fatores de conversão'!$A$6:$I$14,9,FALSE)*V20)/1000</f>
        <v>0</v>
      </c>
      <c r="AC20" s="649"/>
      <c r="AD20" s="649"/>
      <c r="AE20" s="690"/>
      <c r="AF20" s="796">
        <f t="shared" si="1"/>
        <v>0</v>
      </c>
      <c r="AG20" s="649"/>
      <c r="AH20" s="686"/>
      <c r="AI20" s="830" t="s">
        <v>196</v>
      </c>
      <c r="AJ20" s="603">
        <f t="shared" si="6"/>
        <v>0</v>
      </c>
      <c r="AK20" s="788">
        <f t="shared" si="7"/>
        <v>0</v>
      </c>
      <c r="AL20" s="12"/>
      <c r="AM20" s="147"/>
      <c r="AN20" s="146"/>
      <c r="AO20" s="163"/>
      <c r="AP20" s="163"/>
      <c r="AQ20" s="163"/>
      <c r="AR20" s="163"/>
      <c r="AS20" s="163"/>
      <c r="AW20" s="11"/>
      <c r="AX20" s="95"/>
      <c r="AY20" s="66"/>
      <c r="AZ20" s="66"/>
      <c r="BA20" s="66"/>
      <c r="BB20" s="11"/>
    </row>
    <row r="21" spans="2:54" ht="15" thickBot="1" x14ac:dyDescent="0.35">
      <c r="B21" s="15"/>
      <c r="C21" s="21"/>
      <c r="D21" s="11"/>
      <c r="E21" s="11"/>
      <c r="F21" s="11"/>
      <c r="G21" s="11"/>
      <c r="H21" s="799">
        <f>SUM(H10:H20)</f>
        <v>0</v>
      </c>
      <c r="I21" s="11"/>
      <c r="J21" s="778">
        <f>SUM(J10:J20)</f>
        <v>0</v>
      </c>
      <c r="K21" s="779">
        <f t="shared" ref="K21:Q21" si="8">SUM(K10:K20)</f>
        <v>0</v>
      </c>
      <c r="L21" s="779">
        <f t="shared" si="8"/>
        <v>0</v>
      </c>
      <c r="M21" s="779">
        <f t="shared" si="8"/>
        <v>0</v>
      </c>
      <c r="N21" s="779">
        <f t="shared" si="8"/>
        <v>0</v>
      </c>
      <c r="O21" s="779">
        <f>SUM(O10:O20)</f>
        <v>0</v>
      </c>
      <c r="P21" s="780">
        <f t="shared" si="8"/>
        <v>0</v>
      </c>
      <c r="Q21" s="781">
        <f t="shared" si="8"/>
        <v>0</v>
      </c>
      <c r="R21" s="800">
        <f>SUM(R10:R20)</f>
        <v>0</v>
      </c>
      <c r="S21" s="779">
        <f t="shared" ref="S21:V21" si="9">SUM(S10:S20)</f>
        <v>0</v>
      </c>
      <c r="T21" s="779">
        <f t="shared" si="9"/>
        <v>0</v>
      </c>
      <c r="U21" s="779">
        <f t="shared" si="9"/>
        <v>0</v>
      </c>
      <c r="V21" s="779">
        <f t="shared" si="9"/>
        <v>0</v>
      </c>
      <c r="W21" s="779">
        <f>SUM(W10:W20)</f>
        <v>0</v>
      </c>
      <c r="X21" s="782">
        <f>SUM(X10:X20)</f>
        <v>0</v>
      </c>
      <c r="Y21" s="783">
        <f>IF(O21=0,0,W21/O21)</f>
        <v>0</v>
      </c>
      <c r="Z21" s="784">
        <f t="shared" ref="Z21:AB21" si="10">SUM(Z10:Z20)</f>
        <v>0</v>
      </c>
      <c r="AA21" s="784">
        <f t="shared" si="10"/>
        <v>0</v>
      </c>
      <c r="AB21" s="784">
        <f t="shared" si="10"/>
        <v>0</v>
      </c>
      <c r="AC21" s="748">
        <f>SUM(AC10:AC20)</f>
        <v>0</v>
      </c>
      <c r="AD21" s="748">
        <f>SUM(AD10:AD20)</f>
        <v>0</v>
      </c>
      <c r="AE21" s="1038"/>
      <c r="AF21" s="1039"/>
      <c r="AG21" s="748">
        <f>SUM(AG10:AG20)</f>
        <v>0</v>
      </c>
      <c r="AH21" s="802">
        <f>SUM(AH10:AH20)</f>
        <v>0</v>
      </c>
      <c r="AI21" s="802">
        <f>SUM(AI10:AI20)</f>
        <v>0</v>
      </c>
      <c r="AJ21" s="802">
        <f>SUM(AJ10:AJ20)</f>
        <v>0</v>
      </c>
      <c r="AK21" s="804">
        <f t="shared" si="7"/>
        <v>0</v>
      </c>
      <c r="AL21" s="12"/>
      <c r="AM21" s="147"/>
      <c r="AN21" s="146"/>
      <c r="AO21" s="163"/>
      <c r="AP21" s="163"/>
      <c r="AQ21" s="163"/>
      <c r="AR21" s="163"/>
      <c r="AS21" s="163"/>
      <c r="AW21" s="36"/>
      <c r="AX21" s="95"/>
      <c r="AY21" s="66"/>
      <c r="AZ21" s="66"/>
      <c r="BA21" s="66"/>
      <c r="BB21" s="11"/>
    </row>
    <row r="22" spans="2:54" s="1" customFormat="1" ht="30" customHeight="1" thickBot="1" x14ac:dyDescent="0.35">
      <c r="B22" s="9"/>
      <c r="C22" s="972" t="s">
        <v>213</v>
      </c>
      <c r="D22" s="973"/>
      <c r="E22" s="775">
        <f>AG21+AH21</f>
        <v>0</v>
      </c>
      <c r="F22" s="21"/>
      <c r="G22" s="21"/>
      <c r="H22" s="21"/>
      <c r="I22" s="21"/>
      <c r="J22" s="21"/>
      <c r="K22" s="21"/>
      <c r="L22" s="21"/>
      <c r="M22" s="21"/>
      <c r="N22" s="60"/>
      <c r="O22" s="60"/>
      <c r="P22" s="21"/>
      <c r="Q22" s="21"/>
      <c r="R22" s="99"/>
      <c r="S22" s="99"/>
      <c r="T22" s="99"/>
      <c r="U22" s="99"/>
      <c r="V22" s="99"/>
      <c r="W22" s="99"/>
      <c r="X22" s="20"/>
      <c r="Y22" s="99"/>
      <c r="Z22" s="60"/>
      <c r="AA22" s="60"/>
      <c r="AB22" s="60"/>
      <c r="AC22" s="60"/>
      <c r="AD22" s="60"/>
      <c r="AE22" s="60"/>
      <c r="AF22" s="60"/>
      <c r="AG22" s="99"/>
      <c r="AH22" s="60"/>
      <c r="AI22" s="21"/>
      <c r="AJ22" s="21"/>
      <c r="AK22" s="21"/>
      <c r="AL22" s="12"/>
      <c r="AM22" s="147"/>
      <c r="AN22" s="146"/>
      <c r="AO22" s="163"/>
      <c r="AP22" s="163"/>
      <c r="AQ22" s="163"/>
      <c r="AR22" s="163"/>
      <c r="AS22" s="163"/>
      <c r="AT22" s="145"/>
      <c r="AU22" s="66"/>
      <c r="AV22" s="66"/>
      <c r="AW22" s="66"/>
      <c r="AX22" s="21"/>
    </row>
    <row r="23" spans="2:54" ht="30" customHeight="1" thickBot="1" x14ac:dyDescent="0.35">
      <c r="B23" s="15"/>
      <c r="C23" s="972" t="s">
        <v>139</v>
      </c>
      <c r="D23" s="973"/>
      <c r="E23" s="775">
        <f>AJ21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46"/>
      <c r="AK23" s="146"/>
      <c r="AL23" s="12"/>
      <c r="AM23" s="147"/>
      <c r="AN23" s="146"/>
      <c r="AO23" s="163"/>
      <c r="AP23" s="163"/>
      <c r="AQ23" s="163"/>
      <c r="AR23" s="163"/>
      <c r="AS23" s="163"/>
      <c r="AT23" s="66"/>
      <c r="AU23" s="11"/>
    </row>
    <row r="24" spans="2:54" x14ac:dyDescent="0.3">
      <c r="B24" s="15"/>
      <c r="C24" s="2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66"/>
      <c r="AJ24" s="146"/>
      <c r="AK24" s="146"/>
      <c r="AL24" s="12"/>
      <c r="AO24" s="163"/>
      <c r="AP24" s="163"/>
      <c r="AQ24" s="163"/>
      <c r="AR24" s="163"/>
      <c r="AS24" s="163"/>
      <c r="AT24" s="66"/>
      <c r="AU24" s="11"/>
    </row>
    <row r="25" spans="2:54" ht="15" thickBot="1" x14ac:dyDescent="0.35">
      <c r="B25" s="15"/>
      <c r="C25" s="2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66"/>
      <c r="AJ25" s="146"/>
      <c r="AK25" s="146"/>
      <c r="AL25" s="12"/>
      <c r="AO25" s="163"/>
      <c r="AP25" s="163"/>
      <c r="AQ25" s="163"/>
      <c r="AR25" s="163"/>
      <c r="AS25" s="163"/>
      <c r="AT25" s="66"/>
      <c r="AU25" s="11"/>
    </row>
    <row r="26" spans="2:54" ht="56.25" customHeight="1" thickBot="1" x14ac:dyDescent="0.35">
      <c r="B26" s="15"/>
      <c r="C26" s="101" t="s">
        <v>51</v>
      </c>
      <c r="D26" s="102"/>
      <c r="E26" s="102"/>
      <c r="F26" s="102"/>
      <c r="G26" s="102"/>
      <c r="H26" s="102"/>
      <c r="I26" s="102"/>
      <c r="J26" s="974" t="s">
        <v>205</v>
      </c>
      <c r="K26" s="975"/>
      <c r="L26" s="976"/>
      <c r="M26" s="976"/>
      <c r="N26" s="976"/>
      <c r="O26" s="976"/>
      <c r="P26" s="976"/>
      <c r="Q26" s="976"/>
      <c r="R26" s="976"/>
      <c r="S26" s="976"/>
      <c r="T26" s="976"/>
      <c r="U26" s="976"/>
      <c r="V26" s="976"/>
      <c r="W26" s="976"/>
      <c r="X26" s="976"/>
      <c r="Y26" s="976"/>
      <c r="Z26" s="976"/>
      <c r="AA26" s="976"/>
      <c r="AB26" s="976"/>
      <c r="AC26" s="976"/>
      <c r="AD26" s="976"/>
      <c r="AE26" s="976"/>
      <c r="AF26" s="976"/>
      <c r="AG26" s="976"/>
      <c r="AH26" s="976"/>
      <c r="AI26" s="977"/>
      <c r="AJ26" s="146"/>
      <c r="AK26" s="146"/>
      <c r="AL26" s="12"/>
      <c r="AO26" s="163"/>
      <c r="AP26" s="163"/>
      <c r="AQ26" s="163"/>
      <c r="AR26" s="163"/>
      <c r="AS26" s="163"/>
      <c r="AT26" s="66"/>
      <c r="AU26" s="11"/>
    </row>
    <row r="27" spans="2:54" ht="15" thickBot="1" x14ac:dyDescent="0.35">
      <c r="B27" s="15"/>
      <c r="C27" s="103"/>
      <c r="D27" s="104"/>
      <c r="E27" s="104"/>
      <c r="F27" s="104"/>
      <c r="G27" s="105"/>
      <c r="H27" s="105"/>
      <c r="I27" s="104"/>
      <c r="J27" s="993" t="s">
        <v>25</v>
      </c>
      <c r="K27" s="994"/>
      <c r="L27" s="994"/>
      <c r="M27" s="994"/>
      <c r="N27" s="994"/>
      <c r="O27" s="994"/>
      <c r="P27" s="994"/>
      <c r="Q27" s="994"/>
      <c r="R27" s="994"/>
      <c r="S27" s="994"/>
      <c r="T27" s="994"/>
      <c r="U27" s="994"/>
      <c r="V27" s="994"/>
      <c r="W27" s="994"/>
      <c r="X27" s="994"/>
      <c r="Y27" s="994"/>
      <c r="Z27" s="994"/>
      <c r="AA27" s="994"/>
      <c r="AB27" s="994"/>
      <c r="AC27" s="994"/>
      <c r="AD27" s="994"/>
      <c r="AE27" s="994"/>
      <c r="AF27" s="994"/>
      <c r="AG27" s="994"/>
      <c r="AH27" s="994"/>
      <c r="AI27" s="106"/>
      <c r="AJ27" s="146"/>
      <c r="AK27" s="146"/>
      <c r="AL27" s="12"/>
      <c r="AO27" s="163"/>
      <c r="AP27" s="163"/>
      <c r="AQ27" s="163"/>
      <c r="AR27" s="163"/>
      <c r="AS27" s="163"/>
      <c r="AT27" s="66"/>
      <c r="AU27" s="11"/>
    </row>
    <row r="28" spans="2:54" ht="28.5" customHeight="1" thickBot="1" x14ac:dyDescent="0.35">
      <c r="B28" s="15"/>
      <c r="C28" s="107" t="s">
        <v>52</v>
      </c>
      <c r="D28" s="108" t="s">
        <v>185</v>
      </c>
      <c r="E28" s="108" t="s">
        <v>184</v>
      </c>
      <c r="F28" s="108" t="s">
        <v>190</v>
      </c>
      <c r="G28" s="971" t="s">
        <v>121</v>
      </c>
      <c r="H28" s="971"/>
      <c r="I28" s="971"/>
      <c r="J28" s="109">
        <v>1</v>
      </c>
      <c r="K28" s="109">
        <v>2</v>
      </c>
      <c r="L28" s="109">
        <v>3</v>
      </c>
      <c r="M28" s="109">
        <v>4</v>
      </c>
      <c r="N28" s="109">
        <v>5</v>
      </c>
      <c r="O28" s="109">
        <v>6</v>
      </c>
      <c r="P28" s="109">
        <v>7</v>
      </c>
      <c r="Q28" s="109">
        <v>8</v>
      </c>
      <c r="R28" s="109">
        <v>9</v>
      </c>
      <c r="S28" s="109">
        <v>10</v>
      </c>
      <c r="T28" s="109">
        <v>11</v>
      </c>
      <c r="U28" s="109">
        <v>12</v>
      </c>
      <c r="V28" s="109">
        <v>13</v>
      </c>
      <c r="W28" s="109">
        <v>14</v>
      </c>
      <c r="X28" s="109">
        <v>15</v>
      </c>
      <c r="Y28" s="109">
        <v>16</v>
      </c>
      <c r="Z28" s="109">
        <v>17</v>
      </c>
      <c r="AA28" s="109">
        <v>18</v>
      </c>
      <c r="AB28" s="109">
        <v>19</v>
      </c>
      <c r="AC28" s="109">
        <v>20</v>
      </c>
      <c r="AD28" s="109">
        <v>21</v>
      </c>
      <c r="AE28" s="109">
        <v>22</v>
      </c>
      <c r="AF28" s="109">
        <v>23</v>
      </c>
      <c r="AG28" s="109">
        <v>24</v>
      </c>
      <c r="AH28" s="109">
        <v>25</v>
      </c>
      <c r="AI28" s="110" t="s">
        <v>53</v>
      </c>
      <c r="AJ28" s="146"/>
      <c r="AK28" s="146"/>
      <c r="AL28" s="12"/>
      <c r="AO28" s="163"/>
      <c r="AP28" s="163"/>
      <c r="AQ28" s="163"/>
      <c r="AR28" s="163"/>
      <c r="AS28" s="163"/>
      <c r="AT28" s="11"/>
      <c r="AU28" s="11"/>
    </row>
    <row r="29" spans="2:54" x14ac:dyDescent="0.3">
      <c r="B29" s="15"/>
      <c r="C29" s="111">
        <f>C10</f>
        <v>1</v>
      </c>
      <c r="D29" s="112">
        <f>X10</f>
        <v>0</v>
      </c>
      <c r="E29" s="112">
        <f t="shared" ref="E29:F31" si="11">AC10</f>
        <v>0</v>
      </c>
      <c r="F29" s="112">
        <f t="shared" si="11"/>
        <v>0</v>
      </c>
      <c r="G29" s="112">
        <f>IF(D29="",0,D29-E29)</f>
        <v>0</v>
      </c>
      <c r="H29" s="112"/>
      <c r="I29" s="113"/>
      <c r="J29" s="1040">
        <f>IF($I10&gt;=25,$G29,IF(J$28&lt;=$I10,$G29,IF(J$28&lt;=($I10*($AE10+1)),$G29,0)))-IF($I10="",0,IF(J$28-1&lt;=($I10*$AE10),$F29+$F30+$F31,0))*IF(OR($AF10=0,$AF10&gt;25),0,IF(MOD(J$28,$I10)=0,1,0))</f>
        <v>0</v>
      </c>
      <c r="K29" s="1040">
        <f t="shared" ref="K29:AH29" si="12">IF($I10&gt;=25,$G29,IF(K$28&lt;=$I10,$G29,IF(K$28&lt;=($I10*($AE10+1)),$G29,0)))-IF($I10="",0,IF(K$28-1&lt;=($I10*$AE10),$F29+$F30+$F31,0))*IF(OR($AF10=0,$AF10&gt;25),0,IF(MOD(K$28,$I10)=0,1,0))</f>
        <v>0</v>
      </c>
      <c r="L29" s="1040">
        <f t="shared" si="12"/>
        <v>0</v>
      </c>
      <c r="M29" s="1040">
        <f t="shared" si="12"/>
        <v>0</v>
      </c>
      <c r="N29" s="1040">
        <f t="shared" si="12"/>
        <v>0</v>
      </c>
      <c r="O29" s="1040">
        <f t="shared" si="12"/>
        <v>0</v>
      </c>
      <c r="P29" s="1040">
        <f t="shared" si="12"/>
        <v>0</v>
      </c>
      <c r="Q29" s="1040">
        <f t="shared" si="12"/>
        <v>0</v>
      </c>
      <c r="R29" s="1040">
        <f t="shared" si="12"/>
        <v>0</v>
      </c>
      <c r="S29" s="1040">
        <f t="shared" si="12"/>
        <v>0</v>
      </c>
      <c r="T29" s="1040">
        <f t="shared" si="12"/>
        <v>0</v>
      </c>
      <c r="U29" s="1040">
        <f t="shared" si="12"/>
        <v>0</v>
      </c>
      <c r="V29" s="1040">
        <f t="shared" si="12"/>
        <v>0</v>
      </c>
      <c r="W29" s="1040">
        <f t="shared" si="12"/>
        <v>0</v>
      </c>
      <c r="X29" s="1040">
        <f t="shared" si="12"/>
        <v>0</v>
      </c>
      <c r="Y29" s="1040">
        <f t="shared" si="12"/>
        <v>0</v>
      </c>
      <c r="Z29" s="1040">
        <f t="shared" si="12"/>
        <v>0</v>
      </c>
      <c r="AA29" s="1040">
        <f t="shared" si="12"/>
        <v>0</v>
      </c>
      <c r="AB29" s="1040">
        <f t="shared" si="12"/>
        <v>0</v>
      </c>
      <c r="AC29" s="1040">
        <f t="shared" si="12"/>
        <v>0</v>
      </c>
      <c r="AD29" s="1040">
        <f t="shared" si="12"/>
        <v>0</v>
      </c>
      <c r="AE29" s="1040">
        <f t="shared" si="12"/>
        <v>0</v>
      </c>
      <c r="AF29" s="1040">
        <f t="shared" si="12"/>
        <v>0</v>
      </c>
      <c r="AG29" s="1040">
        <f t="shared" si="12"/>
        <v>0</v>
      </c>
      <c r="AH29" s="1040">
        <f t="shared" si="12"/>
        <v>0</v>
      </c>
      <c r="AI29" s="1043">
        <f t="shared" ref="AI29:AI38" si="13">SUM(J29:AH29)</f>
        <v>0</v>
      </c>
      <c r="AJ29" s="146"/>
      <c r="AK29" s="146"/>
      <c r="AL29" s="12"/>
    </row>
    <row r="30" spans="2:54" x14ac:dyDescent="0.3">
      <c r="B30" s="15"/>
      <c r="C30" s="111">
        <f>C11</f>
        <v>2</v>
      </c>
      <c r="D30" s="112"/>
      <c r="E30" s="112">
        <f t="shared" si="11"/>
        <v>0</v>
      </c>
      <c r="F30" s="112">
        <f t="shared" si="11"/>
        <v>0</v>
      </c>
      <c r="G30" s="112"/>
      <c r="H30" s="112"/>
      <c r="I30" s="116"/>
      <c r="J30" s="1041"/>
      <c r="K30" s="1041"/>
      <c r="L30" s="1041"/>
      <c r="M30" s="1041"/>
      <c r="N30" s="1041"/>
      <c r="O30" s="1041"/>
      <c r="P30" s="1041"/>
      <c r="Q30" s="1041"/>
      <c r="R30" s="1041"/>
      <c r="S30" s="1041"/>
      <c r="T30" s="1041"/>
      <c r="U30" s="1041"/>
      <c r="V30" s="1041"/>
      <c r="W30" s="1041"/>
      <c r="X30" s="1041"/>
      <c r="Y30" s="1041"/>
      <c r="Z30" s="1041"/>
      <c r="AA30" s="1041"/>
      <c r="AB30" s="1041"/>
      <c r="AC30" s="1041"/>
      <c r="AD30" s="1041"/>
      <c r="AE30" s="1041"/>
      <c r="AF30" s="1041"/>
      <c r="AG30" s="1041"/>
      <c r="AH30" s="1041"/>
      <c r="AI30" s="1044"/>
      <c r="AJ30" s="146"/>
      <c r="AK30" s="146"/>
      <c r="AL30" s="12"/>
    </row>
    <row r="31" spans="2:54" ht="15" thickBot="1" x14ac:dyDescent="0.35">
      <c r="B31" s="15"/>
      <c r="C31" s="111">
        <f>C12</f>
        <v>3</v>
      </c>
      <c r="D31" s="112"/>
      <c r="E31" s="112">
        <f t="shared" si="11"/>
        <v>0</v>
      </c>
      <c r="F31" s="112">
        <f t="shared" si="11"/>
        <v>0</v>
      </c>
      <c r="G31" s="112"/>
      <c r="H31" s="112"/>
      <c r="I31" s="116"/>
      <c r="J31" s="1042"/>
      <c r="K31" s="1042"/>
      <c r="L31" s="1042"/>
      <c r="M31" s="1042"/>
      <c r="N31" s="1042"/>
      <c r="O31" s="1042"/>
      <c r="P31" s="1042"/>
      <c r="Q31" s="1042"/>
      <c r="R31" s="1042"/>
      <c r="S31" s="1042"/>
      <c r="T31" s="1042"/>
      <c r="U31" s="1042"/>
      <c r="V31" s="1042"/>
      <c r="W31" s="1042"/>
      <c r="X31" s="1042"/>
      <c r="Y31" s="1042"/>
      <c r="Z31" s="1042"/>
      <c r="AA31" s="1042"/>
      <c r="AB31" s="1042"/>
      <c r="AC31" s="1042"/>
      <c r="AD31" s="1042"/>
      <c r="AE31" s="1042"/>
      <c r="AF31" s="1042"/>
      <c r="AG31" s="1042"/>
      <c r="AH31" s="1042"/>
      <c r="AI31" s="1045"/>
      <c r="AJ31" s="146"/>
      <c r="AK31" s="146"/>
      <c r="AL31" s="12"/>
    </row>
    <row r="32" spans="2:54" ht="15" thickBot="1" x14ac:dyDescent="0.35">
      <c r="B32" s="15"/>
      <c r="C32" s="111">
        <f t="shared" ref="C32:C37" si="14">C14</f>
        <v>4</v>
      </c>
      <c r="D32" s="117">
        <f t="shared" ref="D32:D37" si="15">X14</f>
        <v>0</v>
      </c>
      <c r="E32" s="117">
        <f t="shared" ref="E32:E37" si="16">AC14</f>
        <v>0</v>
      </c>
      <c r="F32" s="117">
        <f t="shared" ref="F32:F37" si="17">AD14</f>
        <v>0</v>
      </c>
      <c r="G32" s="112">
        <f t="shared" ref="G32:G38" si="18">IF(D32="",0,D32-E32)</f>
        <v>0</v>
      </c>
      <c r="H32" s="112"/>
      <c r="I32" s="116"/>
      <c r="J32" s="114">
        <f>IF($I14&gt;=25,$G32,IF(J$28&lt;=$I14,$G32,IF(J$28&lt;=($I14*($AE14+1)),$G32,0)))-IF(J$28-1&lt;=($I14*$AE14),$F32,0)*IF(OR($AF14=0,$AF14&gt;25),0,IF(MOD(J$28,$I14)=0,1,0))</f>
        <v>0</v>
      </c>
      <c r="K32" s="114">
        <f t="shared" ref="K32:AH32" si="19">IF($I14&gt;=25,$G32,IF(K$28&lt;=$I14,$G32,IF(K$28&lt;=($I14*($AE14+1)),$G32,0)))-IF(K$28-1&lt;=($I14*$AE14),$F32,0)*IF(OR($AF14=0,$AF14&gt;25),0,IF(MOD(K$28-1,$I14)=0,1,0))</f>
        <v>0</v>
      </c>
      <c r="L32" s="114">
        <f t="shared" si="19"/>
        <v>0</v>
      </c>
      <c r="M32" s="114">
        <f t="shared" si="19"/>
        <v>0</v>
      </c>
      <c r="N32" s="114">
        <f t="shared" si="19"/>
        <v>0</v>
      </c>
      <c r="O32" s="114">
        <f t="shared" si="19"/>
        <v>0</v>
      </c>
      <c r="P32" s="114">
        <f t="shared" si="19"/>
        <v>0</v>
      </c>
      <c r="Q32" s="114">
        <f t="shared" si="19"/>
        <v>0</v>
      </c>
      <c r="R32" s="114">
        <f t="shared" si="19"/>
        <v>0</v>
      </c>
      <c r="S32" s="114">
        <f t="shared" si="19"/>
        <v>0</v>
      </c>
      <c r="T32" s="114">
        <f t="shared" si="19"/>
        <v>0</v>
      </c>
      <c r="U32" s="114">
        <f t="shared" si="19"/>
        <v>0</v>
      </c>
      <c r="V32" s="114">
        <f t="shared" si="19"/>
        <v>0</v>
      </c>
      <c r="W32" s="114">
        <f t="shared" si="19"/>
        <v>0</v>
      </c>
      <c r="X32" s="114">
        <f t="shared" si="19"/>
        <v>0</v>
      </c>
      <c r="Y32" s="114">
        <f t="shared" si="19"/>
        <v>0</v>
      </c>
      <c r="Z32" s="114">
        <f t="shared" si="19"/>
        <v>0</v>
      </c>
      <c r="AA32" s="114">
        <f t="shared" si="19"/>
        <v>0</v>
      </c>
      <c r="AB32" s="114">
        <f t="shared" si="19"/>
        <v>0</v>
      </c>
      <c r="AC32" s="114">
        <f t="shared" si="19"/>
        <v>0</v>
      </c>
      <c r="AD32" s="114">
        <f t="shared" si="19"/>
        <v>0</v>
      </c>
      <c r="AE32" s="114">
        <f t="shared" si="19"/>
        <v>0</v>
      </c>
      <c r="AF32" s="114">
        <f t="shared" si="19"/>
        <v>0</v>
      </c>
      <c r="AG32" s="114">
        <f t="shared" si="19"/>
        <v>0</v>
      </c>
      <c r="AH32" s="114">
        <f t="shared" si="19"/>
        <v>0</v>
      </c>
      <c r="AI32" s="115">
        <f t="shared" si="13"/>
        <v>0</v>
      </c>
      <c r="AJ32" s="146"/>
      <c r="AK32" s="146"/>
      <c r="AL32" s="12"/>
    </row>
    <row r="33" spans="2:38" ht="15" thickBot="1" x14ac:dyDescent="0.35">
      <c r="B33" s="15"/>
      <c r="C33" s="111">
        <f t="shared" si="14"/>
        <v>5</v>
      </c>
      <c r="D33" s="117">
        <f t="shared" si="15"/>
        <v>0</v>
      </c>
      <c r="E33" s="117">
        <f t="shared" si="16"/>
        <v>0</v>
      </c>
      <c r="F33" s="117">
        <f t="shared" si="17"/>
        <v>0</v>
      </c>
      <c r="G33" s="112">
        <f t="shared" si="18"/>
        <v>0</v>
      </c>
      <c r="H33" s="112"/>
      <c r="I33" s="116"/>
      <c r="J33" s="114">
        <f t="shared" ref="J33:J37" si="20">IF($I15&gt;=25,$G33,IF(J$28&lt;=$I15,$G33,IF(J$28&lt;=($I15*($AE15+1)),$G33,0)))-IF(J$28-1&lt;=($I15*$AE15),$F33,0)*IF(OR($AF15=0,$AF15&gt;25),0,IF(MOD(J$28,$I15)=0,1,0))</f>
        <v>0</v>
      </c>
      <c r="K33" s="114">
        <f t="shared" ref="K33:AH33" si="21">IF($I15&gt;=25,$G33,IF(K$28&lt;=$I15,$G33,IF(K$28&lt;=($I15*($AE15+1)),$G33,0)))-IF(K$28-1&lt;=($I15*$AE15),$F33,0)*IF(OR($AF15=0,$AF15&gt;25),0,IF(MOD(K$28-1,$I15)=0,1,0))</f>
        <v>0</v>
      </c>
      <c r="L33" s="114">
        <f t="shared" si="21"/>
        <v>0</v>
      </c>
      <c r="M33" s="114">
        <f t="shared" si="21"/>
        <v>0</v>
      </c>
      <c r="N33" s="114">
        <f t="shared" si="21"/>
        <v>0</v>
      </c>
      <c r="O33" s="114">
        <f t="shared" si="21"/>
        <v>0</v>
      </c>
      <c r="P33" s="114">
        <f t="shared" si="21"/>
        <v>0</v>
      </c>
      <c r="Q33" s="114">
        <f t="shared" si="21"/>
        <v>0</v>
      </c>
      <c r="R33" s="114">
        <f t="shared" si="21"/>
        <v>0</v>
      </c>
      <c r="S33" s="114">
        <f t="shared" si="21"/>
        <v>0</v>
      </c>
      <c r="T33" s="114">
        <f t="shared" si="21"/>
        <v>0</v>
      </c>
      <c r="U33" s="114">
        <f t="shared" si="21"/>
        <v>0</v>
      </c>
      <c r="V33" s="114">
        <f t="shared" si="21"/>
        <v>0</v>
      </c>
      <c r="W33" s="114">
        <f t="shared" si="21"/>
        <v>0</v>
      </c>
      <c r="X33" s="114">
        <f t="shared" si="21"/>
        <v>0</v>
      </c>
      <c r="Y33" s="114">
        <f t="shared" si="21"/>
        <v>0</v>
      </c>
      <c r="Z33" s="114">
        <f t="shared" si="21"/>
        <v>0</v>
      </c>
      <c r="AA33" s="114">
        <f t="shared" si="21"/>
        <v>0</v>
      </c>
      <c r="AB33" s="114">
        <f t="shared" si="21"/>
        <v>0</v>
      </c>
      <c r="AC33" s="114">
        <f t="shared" si="21"/>
        <v>0</v>
      </c>
      <c r="AD33" s="114">
        <f t="shared" si="21"/>
        <v>0</v>
      </c>
      <c r="AE33" s="114">
        <f t="shared" si="21"/>
        <v>0</v>
      </c>
      <c r="AF33" s="114">
        <f t="shared" si="21"/>
        <v>0</v>
      </c>
      <c r="AG33" s="114">
        <f t="shared" si="21"/>
        <v>0</v>
      </c>
      <c r="AH33" s="114">
        <f t="shared" si="21"/>
        <v>0</v>
      </c>
      <c r="AI33" s="115">
        <f t="shared" si="13"/>
        <v>0</v>
      </c>
      <c r="AJ33" s="146"/>
      <c r="AK33" s="146"/>
      <c r="AL33" s="12"/>
    </row>
    <row r="34" spans="2:38" ht="15" thickBot="1" x14ac:dyDescent="0.35">
      <c r="B34" s="15"/>
      <c r="C34" s="111">
        <f t="shared" si="14"/>
        <v>6</v>
      </c>
      <c r="D34" s="117">
        <f t="shared" si="15"/>
        <v>0</v>
      </c>
      <c r="E34" s="117">
        <f t="shared" si="16"/>
        <v>0</v>
      </c>
      <c r="F34" s="117">
        <f t="shared" si="17"/>
        <v>0</v>
      </c>
      <c r="G34" s="112">
        <f t="shared" si="18"/>
        <v>0</v>
      </c>
      <c r="H34" s="112"/>
      <c r="I34" s="118"/>
      <c r="J34" s="114">
        <f t="shared" si="20"/>
        <v>0</v>
      </c>
      <c r="K34" s="114">
        <f t="shared" ref="K34:AH34" si="22">IF($I16&gt;=25,$G34,IF(K$28&lt;=$I16,$G34,IF(K$28&lt;=($I16*($AE16+1)),$G34,0)))-IF(K$28-1&lt;=($I16*$AE16),$F34,0)*IF(OR($AF16=0,$AF16&gt;25),0,IF(MOD(K$28-1,$I16)=0,1,0))</f>
        <v>0</v>
      </c>
      <c r="L34" s="114">
        <f t="shared" si="22"/>
        <v>0</v>
      </c>
      <c r="M34" s="114">
        <f t="shared" si="22"/>
        <v>0</v>
      </c>
      <c r="N34" s="114">
        <f t="shared" si="22"/>
        <v>0</v>
      </c>
      <c r="O34" s="114">
        <f t="shared" si="22"/>
        <v>0</v>
      </c>
      <c r="P34" s="114">
        <f t="shared" si="22"/>
        <v>0</v>
      </c>
      <c r="Q34" s="114">
        <f t="shared" si="22"/>
        <v>0</v>
      </c>
      <c r="R34" s="114">
        <f t="shared" si="22"/>
        <v>0</v>
      </c>
      <c r="S34" s="114">
        <f t="shared" si="22"/>
        <v>0</v>
      </c>
      <c r="T34" s="114">
        <f t="shared" si="22"/>
        <v>0</v>
      </c>
      <c r="U34" s="114">
        <f t="shared" si="22"/>
        <v>0</v>
      </c>
      <c r="V34" s="114">
        <f t="shared" si="22"/>
        <v>0</v>
      </c>
      <c r="W34" s="114">
        <f t="shared" si="22"/>
        <v>0</v>
      </c>
      <c r="X34" s="114">
        <f t="shared" si="22"/>
        <v>0</v>
      </c>
      <c r="Y34" s="114">
        <f t="shared" si="22"/>
        <v>0</v>
      </c>
      <c r="Z34" s="114">
        <f t="shared" si="22"/>
        <v>0</v>
      </c>
      <c r="AA34" s="114">
        <f t="shared" si="22"/>
        <v>0</v>
      </c>
      <c r="AB34" s="114">
        <f t="shared" si="22"/>
        <v>0</v>
      </c>
      <c r="AC34" s="114">
        <f t="shared" si="22"/>
        <v>0</v>
      </c>
      <c r="AD34" s="114">
        <f t="shared" si="22"/>
        <v>0</v>
      </c>
      <c r="AE34" s="114">
        <f t="shared" si="22"/>
        <v>0</v>
      </c>
      <c r="AF34" s="114">
        <f t="shared" si="22"/>
        <v>0</v>
      </c>
      <c r="AG34" s="114">
        <f t="shared" si="22"/>
        <v>0</v>
      </c>
      <c r="AH34" s="114">
        <f t="shared" si="22"/>
        <v>0</v>
      </c>
      <c r="AI34" s="115">
        <f t="shared" si="13"/>
        <v>0</v>
      </c>
      <c r="AJ34" s="146"/>
      <c r="AK34" s="146"/>
      <c r="AL34" s="12"/>
    </row>
    <row r="35" spans="2:38" ht="15" thickBot="1" x14ac:dyDescent="0.35">
      <c r="B35" s="15"/>
      <c r="C35" s="111">
        <f t="shared" si="14"/>
        <v>7</v>
      </c>
      <c r="D35" s="117">
        <f t="shared" si="15"/>
        <v>0</v>
      </c>
      <c r="E35" s="117">
        <f t="shared" si="16"/>
        <v>0</v>
      </c>
      <c r="F35" s="117">
        <f t="shared" si="17"/>
        <v>0</v>
      </c>
      <c r="G35" s="112">
        <f t="shared" si="18"/>
        <v>0</v>
      </c>
      <c r="H35" s="112"/>
      <c r="I35" s="118"/>
      <c r="J35" s="114">
        <f t="shared" si="20"/>
        <v>0</v>
      </c>
      <c r="K35" s="114">
        <f t="shared" ref="K35:AH35" si="23">IF($I17&gt;=25,$G35,IF(K$28&lt;=$I17,$G35,IF(K$28&lt;=($I17*($AE17+1)),$G35,0)))-IF(K$28-1&lt;=($I17*$AE17),$F35,0)*IF(OR($AF17=0,$AF17&gt;25),0,IF(MOD(K$28-1,$I17)=0,1,0))</f>
        <v>0</v>
      </c>
      <c r="L35" s="114">
        <f t="shared" si="23"/>
        <v>0</v>
      </c>
      <c r="M35" s="114">
        <f t="shared" si="23"/>
        <v>0</v>
      </c>
      <c r="N35" s="114">
        <f t="shared" si="23"/>
        <v>0</v>
      </c>
      <c r="O35" s="114">
        <f t="shared" si="23"/>
        <v>0</v>
      </c>
      <c r="P35" s="114">
        <f t="shared" si="23"/>
        <v>0</v>
      </c>
      <c r="Q35" s="114">
        <f t="shared" si="23"/>
        <v>0</v>
      </c>
      <c r="R35" s="114">
        <f t="shared" si="23"/>
        <v>0</v>
      </c>
      <c r="S35" s="114">
        <f t="shared" si="23"/>
        <v>0</v>
      </c>
      <c r="T35" s="114">
        <f t="shared" si="23"/>
        <v>0</v>
      </c>
      <c r="U35" s="114">
        <f t="shared" si="23"/>
        <v>0</v>
      </c>
      <c r="V35" s="114">
        <f t="shared" si="23"/>
        <v>0</v>
      </c>
      <c r="W35" s="114">
        <f t="shared" si="23"/>
        <v>0</v>
      </c>
      <c r="X35" s="114">
        <f t="shared" si="23"/>
        <v>0</v>
      </c>
      <c r="Y35" s="114">
        <f t="shared" si="23"/>
        <v>0</v>
      </c>
      <c r="Z35" s="114">
        <f t="shared" si="23"/>
        <v>0</v>
      </c>
      <c r="AA35" s="114">
        <f t="shared" si="23"/>
        <v>0</v>
      </c>
      <c r="AB35" s="114">
        <f t="shared" si="23"/>
        <v>0</v>
      </c>
      <c r="AC35" s="114">
        <f t="shared" si="23"/>
        <v>0</v>
      </c>
      <c r="AD35" s="114">
        <f t="shared" si="23"/>
        <v>0</v>
      </c>
      <c r="AE35" s="114">
        <f t="shared" si="23"/>
        <v>0</v>
      </c>
      <c r="AF35" s="114">
        <f t="shared" si="23"/>
        <v>0</v>
      </c>
      <c r="AG35" s="114">
        <f t="shared" si="23"/>
        <v>0</v>
      </c>
      <c r="AH35" s="114">
        <f t="shared" si="23"/>
        <v>0</v>
      </c>
      <c r="AI35" s="115">
        <f>SUM(J35:AH35)</f>
        <v>0</v>
      </c>
      <c r="AJ35" s="146"/>
      <c r="AK35" s="146"/>
      <c r="AL35" s="12"/>
    </row>
    <row r="36" spans="2:38" ht="15" thickBot="1" x14ac:dyDescent="0.35">
      <c r="B36" s="15"/>
      <c r="C36" s="111">
        <f t="shared" si="14"/>
        <v>8</v>
      </c>
      <c r="D36" s="117">
        <f t="shared" si="15"/>
        <v>0</v>
      </c>
      <c r="E36" s="117">
        <f t="shared" si="16"/>
        <v>0</v>
      </c>
      <c r="F36" s="117">
        <f t="shared" si="17"/>
        <v>0</v>
      </c>
      <c r="G36" s="112">
        <f t="shared" si="18"/>
        <v>0</v>
      </c>
      <c r="H36" s="112"/>
      <c r="I36" s="118"/>
      <c r="J36" s="114">
        <f t="shared" si="20"/>
        <v>0</v>
      </c>
      <c r="K36" s="114">
        <f t="shared" ref="K36:AH36" si="24">IF($I18&gt;=25,$G36,IF(K$28&lt;=$I18,$G36,IF(K$28&lt;=($I18*($AE18+1)),$G36,0)))-IF(K$28-1&lt;=($I18*$AE18),$F36,0)*IF(OR($AF18=0,$AF18&gt;25),0,IF(MOD(K$28-1,$I18)=0,1,0))</f>
        <v>0</v>
      </c>
      <c r="L36" s="114">
        <f t="shared" si="24"/>
        <v>0</v>
      </c>
      <c r="M36" s="114">
        <f t="shared" si="24"/>
        <v>0</v>
      </c>
      <c r="N36" s="114">
        <f t="shared" si="24"/>
        <v>0</v>
      </c>
      <c r="O36" s="114">
        <f t="shared" si="24"/>
        <v>0</v>
      </c>
      <c r="P36" s="114">
        <f t="shared" si="24"/>
        <v>0</v>
      </c>
      <c r="Q36" s="114">
        <f t="shared" si="24"/>
        <v>0</v>
      </c>
      <c r="R36" s="114">
        <f t="shared" si="24"/>
        <v>0</v>
      </c>
      <c r="S36" s="114">
        <f t="shared" si="24"/>
        <v>0</v>
      </c>
      <c r="T36" s="114">
        <f t="shared" si="24"/>
        <v>0</v>
      </c>
      <c r="U36" s="114">
        <f t="shared" si="24"/>
        <v>0</v>
      </c>
      <c r="V36" s="114">
        <f t="shared" si="24"/>
        <v>0</v>
      </c>
      <c r="W36" s="114">
        <f t="shared" si="24"/>
        <v>0</v>
      </c>
      <c r="X36" s="114">
        <f t="shared" si="24"/>
        <v>0</v>
      </c>
      <c r="Y36" s="114">
        <f t="shared" si="24"/>
        <v>0</v>
      </c>
      <c r="Z36" s="114">
        <f t="shared" si="24"/>
        <v>0</v>
      </c>
      <c r="AA36" s="114">
        <f t="shared" si="24"/>
        <v>0</v>
      </c>
      <c r="AB36" s="114">
        <f t="shared" si="24"/>
        <v>0</v>
      </c>
      <c r="AC36" s="114">
        <f t="shared" si="24"/>
        <v>0</v>
      </c>
      <c r="AD36" s="114">
        <f t="shared" si="24"/>
        <v>0</v>
      </c>
      <c r="AE36" s="114">
        <f t="shared" si="24"/>
        <v>0</v>
      </c>
      <c r="AF36" s="114">
        <f t="shared" si="24"/>
        <v>0</v>
      </c>
      <c r="AG36" s="114">
        <f t="shared" si="24"/>
        <v>0</v>
      </c>
      <c r="AH36" s="114">
        <f t="shared" si="24"/>
        <v>0</v>
      </c>
      <c r="AI36" s="115">
        <f t="shared" si="13"/>
        <v>0</v>
      </c>
      <c r="AJ36" s="146"/>
      <c r="AK36" s="146"/>
      <c r="AL36" s="12"/>
    </row>
    <row r="37" spans="2:38" ht="15" thickBot="1" x14ac:dyDescent="0.35">
      <c r="B37" s="15"/>
      <c r="C37" s="111">
        <f t="shared" si="14"/>
        <v>9</v>
      </c>
      <c r="D37" s="117">
        <f t="shared" si="15"/>
        <v>0</v>
      </c>
      <c r="E37" s="117">
        <f t="shared" si="16"/>
        <v>0</v>
      </c>
      <c r="F37" s="117">
        <f t="shared" si="17"/>
        <v>0</v>
      </c>
      <c r="G37" s="112">
        <f t="shared" si="18"/>
        <v>0</v>
      </c>
      <c r="H37" s="112"/>
      <c r="I37" s="118"/>
      <c r="J37" s="114">
        <f t="shared" si="20"/>
        <v>0</v>
      </c>
      <c r="K37" s="114">
        <f t="shared" ref="K37:AH37" si="25">IF($I19&gt;=25,$G37,IF(K$28&lt;=$I19,$G37,IF(K$28&lt;=($I19*($AE19+1)),$G37,0)))-IF(K$28-1&lt;=($I19*$AE19),$F37,0)*IF(OR($AF19=0,$AF19&gt;25),0,IF(MOD(K$28-1,$I19)=0,1,0))</f>
        <v>0</v>
      </c>
      <c r="L37" s="114">
        <f t="shared" si="25"/>
        <v>0</v>
      </c>
      <c r="M37" s="114">
        <f t="shared" si="25"/>
        <v>0</v>
      </c>
      <c r="N37" s="114">
        <f t="shared" si="25"/>
        <v>0</v>
      </c>
      <c r="O37" s="114">
        <f t="shared" si="25"/>
        <v>0</v>
      </c>
      <c r="P37" s="114">
        <f t="shared" si="25"/>
        <v>0</v>
      </c>
      <c r="Q37" s="114">
        <f t="shared" si="25"/>
        <v>0</v>
      </c>
      <c r="R37" s="114">
        <f t="shared" si="25"/>
        <v>0</v>
      </c>
      <c r="S37" s="114">
        <f t="shared" si="25"/>
        <v>0</v>
      </c>
      <c r="T37" s="114">
        <f t="shared" si="25"/>
        <v>0</v>
      </c>
      <c r="U37" s="114">
        <f t="shared" si="25"/>
        <v>0</v>
      </c>
      <c r="V37" s="114">
        <f t="shared" si="25"/>
        <v>0</v>
      </c>
      <c r="W37" s="114">
        <f t="shared" si="25"/>
        <v>0</v>
      </c>
      <c r="X37" s="114">
        <f t="shared" si="25"/>
        <v>0</v>
      </c>
      <c r="Y37" s="114">
        <f t="shared" si="25"/>
        <v>0</v>
      </c>
      <c r="Z37" s="114">
        <f t="shared" si="25"/>
        <v>0</v>
      </c>
      <c r="AA37" s="114">
        <f t="shared" si="25"/>
        <v>0</v>
      </c>
      <c r="AB37" s="114">
        <f t="shared" si="25"/>
        <v>0</v>
      </c>
      <c r="AC37" s="114">
        <f t="shared" si="25"/>
        <v>0</v>
      </c>
      <c r="AD37" s="114">
        <f t="shared" si="25"/>
        <v>0</v>
      </c>
      <c r="AE37" s="114">
        <f t="shared" si="25"/>
        <v>0</v>
      </c>
      <c r="AF37" s="114">
        <f t="shared" si="25"/>
        <v>0</v>
      </c>
      <c r="AG37" s="114">
        <f t="shared" si="25"/>
        <v>0</v>
      </c>
      <c r="AH37" s="114">
        <f t="shared" si="25"/>
        <v>0</v>
      </c>
      <c r="AI37" s="115">
        <f t="shared" si="13"/>
        <v>0</v>
      </c>
      <c r="AJ37" s="146"/>
      <c r="AK37" s="146"/>
      <c r="AL37" s="12"/>
    </row>
    <row r="38" spans="2:38" ht="15" thickBot="1" x14ac:dyDescent="0.35">
      <c r="B38" s="15"/>
      <c r="C38" s="111">
        <f>C20</f>
        <v>10</v>
      </c>
      <c r="D38" s="117">
        <f>X20</f>
        <v>0</v>
      </c>
      <c r="E38" s="117">
        <f>AC20</f>
        <v>0</v>
      </c>
      <c r="F38" s="117">
        <f>AD20</f>
        <v>0</v>
      </c>
      <c r="G38" s="112">
        <f t="shared" si="18"/>
        <v>0</v>
      </c>
      <c r="H38" s="112"/>
      <c r="I38" s="118"/>
      <c r="J38" s="114">
        <f>IF($I20&gt;=25,$G38,IF(J$28&lt;=$I20,$G38,IF(J$28&lt;=($I20*($AE20+1)),$G38,0)))-IF(J$28-1&lt;=($I20*$AE20),$F38,0)*IF(OR($AF20=0,$AF20&gt;25),0,IF(MOD(J$28,$I20)=0,1,0))</f>
        <v>0</v>
      </c>
      <c r="K38" s="114">
        <f t="shared" ref="K38:AH38" si="26">IF($I20&gt;=25,$G38,IF(K$28&lt;=$I20,$G38,IF(K$28&lt;=($I20*($AE20+1)),$G38,0)))-IF(K$28-1&lt;=($I20*$AE20),$F38,0)*IF(OR($AF20=0,$AF20&gt;25),0,IF(MOD(K$28-1,$I20)=0,1,0))</f>
        <v>0</v>
      </c>
      <c r="L38" s="114">
        <f t="shared" si="26"/>
        <v>0</v>
      </c>
      <c r="M38" s="114">
        <f t="shared" si="26"/>
        <v>0</v>
      </c>
      <c r="N38" s="114">
        <f t="shared" si="26"/>
        <v>0</v>
      </c>
      <c r="O38" s="114">
        <f t="shared" si="26"/>
        <v>0</v>
      </c>
      <c r="P38" s="114">
        <f t="shared" si="26"/>
        <v>0</v>
      </c>
      <c r="Q38" s="114">
        <f t="shared" si="26"/>
        <v>0</v>
      </c>
      <c r="R38" s="114">
        <f t="shared" si="26"/>
        <v>0</v>
      </c>
      <c r="S38" s="114">
        <f t="shared" si="26"/>
        <v>0</v>
      </c>
      <c r="T38" s="114">
        <f t="shared" si="26"/>
        <v>0</v>
      </c>
      <c r="U38" s="114">
        <f t="shared" si="26"/>
        <v>0</v>
      </c>
      <c r="V38" s="114">
        <f t="shared" si="26"/>
        <v>0</v>
      </c>
      <c r="W38" s="114">
        <f t="shared" si="26"/>
        <v>0</v>
      </c>
      <c r="X38" s="114">
        <f t="shared" si="26"/>
        <v>0</v>
      </c>
      <c r="Y38" s="114">
        <f t="shared" si="26"/>
        <v>0</v>
      </c>
      <c r="Z38" s="114">
        <f t="shared" si="26"/>
        <v>0</v>
      </c>
      <c r="AA38" s="114">
        <f t="shared" si="26"/>
        <v>0</v>
      </c>
      <c r="AB38" s="114">
        <f t="shared" si="26"/>
        <v>0</v>
      </c>
      <c r="AC38" s="114">
        <f t="shared" si="26"/>
        <v>0</v>
      </c>
      <c r="AD38" s="114">
        <f t="shared" si="26"/>
        <v>0</v>
      </c>
      <c r="AE38" s="114">
        <f t="shared" si="26"/>
        <v>0</v>
      </c>
      <c r="AF38" s="114">
        <f t="shared" si="26"/>
        <v>0</v>
      </c>
      <c r="AG38" s="114">
        <f t="shared" si="26"/>
        <v>0</v>
      </c>
      <c r="AH38" s="114">
        <f t="shared" si="26"/>
        <v>0</v>
      </c>
      <c r="AI38" s="115">
        <f t="shared" si="13"/>
        <v>0</v>
      </c>
      <c r="AJ38" s="146"/>
      <c r="AK38" s="146"/>
      <c r="AL38" s="12"/>
    </row>
    <row r="39" spans="2:38" ht="15" thickBot="1" x14ac:dyDescent="0.35">
      <c r="B39" s="15"/>
      <c r="C39" s="111"/>
      <c r="D39" s="119"/>
      <c r="E39" s="119"/>
      <c r="F39" s="119"/>
      <c r="G39" s="116"/>
      <c r="H39" s="116"/>
      <c r="I39" s="120" t="s">
        <v>54</v>
      </c>
      <c r="J39" s="121">
        <f>SUM(J29:J38)</f>
        <v>0</v>
      </c>
      <c r="K39" s="121">
        <f t="shared" ref="K39:AI39" si="27">SUM(K29:K38)</f>
        <v>0</v>
      </c>
      <c r="L39" s="121">
        <f t="shared" si="27"/>
        <v>0</v>
      </c>
      <c r="M39" s="121">
        <f t="shared" si="27"/>
        <v>0</v>
      </c>
      <c r="N39" s="121">
        <f t="shared" si="27"/>
        <v>0</v>
      </c>
      <c r="O39" s="121">
        <f t="shared" si="27"/>
        <v>0</v>
      </c>
      <c r="P39" s="121">
        <f t="shared" si="27"/>
        <v>0</v>
      </c>
      <c r="Q39" s="121">
        <f t="shared" si="27"/>
        <v>0</v>
      </c>
      <c r="R39" s="121">
        <f t="shared" si="27"/>
        <v>0</v>
      </c>
      <c r="S39" s="121">
        <f t="shared" si="27"/>
        <v>0</v>
      </c>
      <c r="T39" s="121">
        <f t="shared" si="27"/>
        <v>0</v>
      </c>
      <c r="U39" s="121">
        <f t="shared" si="27"/>
        <v>0</v>
      </c>
      <c r="V39" s="121">
        <f t="shared" si="27"/>
        <v>0</v>
      </c>
      <c r="W39" s="121">
        <f t="shared" si="27"/>
        <v>0</v>
      </c>
      <c r="X39" s="121">
        <f t="shared" si="27"/>
        <v>0</v>
      </c>
      <c r="Y39" s="121">
        <f t="shared" si="27"/>
        <v>0</v>
      </c>
      <c r="Z39" s="121">
        <f t="shared" si="27"/>
        <v>0</v>
      </c>
      <c r="AA39" s="121">
        <f t="shared" si="27"/>
        <v>0</v>
      </c>
      <c r="AB39" s="121">
        <f t="shared" si="27"/>
        <v>0</v>
      </c>
      <c r="AC39" s="121">
        <f t="shared" si="27"/>
        <v>0</v>
      </c>
      <c r="AD39" s="121">
        <f t="shared" si="27"/>
        <v>0</v>
      </c>
      <c r="AE39" s="121">
        <f t="shared" si="27"/>
        <v>0</v>
      </c>
      <c r="AF39" s="121">
        <f t="shared" si="27"/>
        <v>0</v>
      </c>
      <c r="AG39" s="121">
        <f t="shared" si="27"/>
        <v>0</v>
      </c>
      <c r="AH39" s="121">
        <f t="shared" si="27"/>
        <v>0</v>
      </c>
      <c r="AI39" s="122">
        <f t="shared" si="27"/>
        <v>0</v>
      </c>
      <c r="AJ39" s="146"/>
      <c r="AK39" s="146"/>
      <c r="AL39" s="12"/>
    </row>
    <row r="40" spans="2:38" ht="15" thickBot="1" x14ac:dyDescent="0.35">
      <c r="B40" s="15"/>
      <c r="C40" s="111"/>
      <c r="D40" s="123"/>
      <c r="E40" s="123"/>
      <c r="F40" s="123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24"/>
      <c r="AJ40" s="146"/>
      <c r="AK40" s="146"/>
      <c r="AL40" s="12"/>
    </row>
    <row r="41" spans="2:38" ht="28.5" customHeight="1" thickBot="1" x14ac:dyDescent="0.35">
      <c r="B41" s="15"/>
      <c r="C41" s="107" t="s">
        <v>52</v>
      </c>
      <c r="D41" s="125" t="s">
        <v>191</v>
      </c>
      <c r="E41" s="126"/>
      <c r="F41" s="126"/>
      <c r="G41" s="971" t="s">
        <v>192</v>
      </c>
      <c r="H41" s="971"/>
      <c r="I41" s="971"/>
      <c r="J41" s="109">
        <v>1</v>
      </c>
      <c r="K41" s="109">
        <v>2</v>
      </c>
      <c r="L41" s="109">
        <v>3</v>
      </c>
      <c r="M41" s="109">
        <v>4</v>
      </c>
      <c r="N41" s="109">
        <v>5</v>
      </c>
      <c r="O41" s="109">
        <v>6</v>
      </c>
      <c r="P41" s="109">
        <v>7</v>
      </c>
      <c r="Q41" s="109">
        <v>8</v>
      </c>
      <c r="R41" s="109">
        <v>9</v>
      </c>
      <c r="S41" s="109">
        <v>10</v>
      </c>
      <c r="T41" s="109">
        <v>11</v>
      </c>
      <c r="U41" s="109">
        <v>12</v>
      </c>
      <c r="V41" s="109">
        <v>13</v>
      </c>
      <c r="W41" s="109">
        <v>14</v>
      </c>
      <c r="X41" s="109">
        <v>15</v>
      </c>
      <c r="Y41" s="109">
        <v>16</v>
      </c>
      <c r="Z41" s="109">
        <v>17</v>
      </c>
      <c r="AA41" s="109">
        <v>18</v>
      </c>
      <c r="AB41" s="109">
        <v>19</v>
      </c>
      <c r="AC41" s="109">
        <v>20</v>
      </c>
      <c r="AD41" s="109">
        <v>21</v>
      </c>
      <c r="AE41" s="109">
        <v>22</v>
      </c>
      <c r="AF41" s="109">
        <v>23</v>
      </c>
      <c r="AG41" s="109">
        <v>24</v>
      </c>
      <c r="AH41" s="109">
        <v>25</v>
      </c>
      <c r="AI41" s="110" t="s">
        <v>53</v>
      </c>
      <c r="AJ41" s="146"/>
      <c r="AK41" s="146"/>
      <c r="AL41" s="12"/>
    </row>
    <row r="42" spans="2:38" x14ac:dyDescent="0.3">
      <c r="B42" s="15"/>
      <c r="C42" s="127">
        <f t="shared" ref="C42:C51" si="28">C29</f>
        <v>1</v>
      </c>
      <c r="D42" s="422">
        <f>W10</f>
        <v>0</v>
      </c>
      <c r="E42" s="423"/>
      <c r="F42" s="423"/>
      <c r="G42" s="422">
        <f>IF(D42="","",D42-E42-F42)</f>
        <v>0</v>
      </c>
      <c r="H42" s="422"/>
      <c r="I42" s="424"/>
      <c r="J42" s="1046">
        <f>IF($I10&gt;=25,$G42,IF(J$41&lt;=$I10,$G42,IF(J$41&lt;=($I10*($AE10+1)),$G42,0)))</f>
        <v>0</v>
      </c>
      <c r="K42" s="1046">
        <f t="shared" ref="K42:AH42" si="29">IF($I10&gt;=25,$G42,IF(K$41&lt;=$I10,$G42,IF(K$41&lt;=($I10*($AE10+1)),$G42,0)))</f>
        <v>0</v>
      </c>
      <c r="L42" s="1046">
        <f t="shared" si="29"/>
        <v>0</v>
      </c>
      <c r="M42" s="1046">
        <f t="shared" si="29"/>
        <v>0</v>
      </c>
      <c r="N42" s="1046">
        <f t="shared" si="29"/>
        <v>0</v>
      </c>
      <c r="O42" s="1046">
        <f t="shared" si="29"/>
        <v>0</v>
      </c>
      <c r="P42" s="1046">
        <f t="shared" si="29"/>
        <v>0</v>
      </c>
      <c r="Q42" s="1046">
        <f t="shared" si="29"/>
        <v>0</v>
      </c>
      <c r="R42" s="1046">
        <f t="shared" si="29"/>
        <v>0</v>
      </c>
      <c r="S42" s="1046">
        <f t="shared" si="29"/>
        <v>0</v>
      </c>
      <c r="T42" s="1046">
        <f t="shared" si="29"/>
        <v>0</v>
      </c>
      <c r="U42" s="1046">
        <f t="shared" si="29"/>
        <v>0</v>
      </c>
      <c r="V42" s="1046">
        <f t="shared" si="29"/>
        <v>0</v>
      </c>
      <c r="W42" s="1046">
        <f t="shared" si="29"/>
        <v>0</v>
      </c>
      <c r="X42" s="1046">
        <f t="shared" si="29"/>
        <v>0</v>
      </c>
      <c r="Y42" s="1046">
        <f t="shared" si="29"/>
        <v>0</v>
      </c>
      <c r="Z42" s="1046">
        <f t="shared" si="29"/>
        <v>0</v>
      </c>
      <c r="AA42" s="1046">
        <f t="shared" si="29"/>
        <v>0</v>
      </c>
      <c r="AB42" s="1046">
        <f t="shared" si="29"/>
        <v>0</v>
      </c>
      <c r="AC42" s="1046">
        <f t="shared" si="29"/>
        <v>0</v>
      </c>
      <c r="AD42" s="1046">
        <f t="shared" si="29"/>
        <v>0</v>
      </c>
      <c r="AE42" s="1046">
        <f t="shared" si="29"/>
        <v>0</v>
      </c>
      <c r="AF42" s="1046">
        <f t="shared" si="29"/>
        <v>0</v>
      </c>
      <c r="AG42" s="1046">
        <f t="shared" si="29"/>
        <v>0</v>
      </c>
      <c r="AH42" s="1046">
        <f t="shared" si="29"/>
        <v>0</v>
      </c>
      <c r="AI42" s="1049">
        <f t="shared" ref="AI42:AI50" si="30">SUM(J42:AH42)</f>
        <v>0</v>
      </c>
      <c r="AJ42" s="146"/>
      <c r="AK42" s="146"/>
      <c r="AL42" s="12"/>
    </row>
    <row r="43" spans="2:38" x14ac:dyDescent="0.3">
      <c r="B43" s="15"/>
      <c r="C43" s="127">
        <f t="shared" si="28"/>
        <v>2</v>
      </c>
      <c r="D43" s="422"/>
      <c r="E43" s="423"/>
      <c r="F43" s="423"/>
      <c r="G43" s="422"/>
      <c r="H43" s="422"/>
      <c r="I43" s="424"/>
      <c r="J43" s="1047"/>
      <c r="K43" s="1047"/>
      <c r="L43" s="1047"/>
      <c r="M43" s="1047"/>
      <c r="N43" s="1047"/>
      <c r="O43" s="1047"/>
      <c r="P43" s="1047"/>
      <c r="Q43" s="1047"/>
      <c r="R43" s="1047"/>
      <c r="S43" s="1047"/>
      <c r="T43" s="1047"/>
      <c r="U43" s="1047"/>
      <c r="V43" s="1047"/>
      <c r="W43" s="1047"/>
      <c r="X43" s="1047"/>
      <c r="Y43" s="1047"/>
      <c r="Z43" s="1047"/>
      <c r="AA43" s="1047"/>
      <c r="AB43" s="1047"/>
      <c r="AC43" s="1047"/>
      <c r="AD43" s="1047"/>
      <c r="AE43" s="1047"/>
      <c r="AF43" s="1047"/>
      <c r="AG43" s="1047"/>
      <c r="AH43" s="1047"/>
      <c r="AI43" s="1050"/>
      <c r="AJ43" s="146"/>
      <c r="AK43" s="146"/>
      <c r="AL43" s="12"/>
    </row>
    <row r="44" spans="2:38" ht="15" thickBot="1" x14ac:dyDescent="0.35">
      <c r="B44" s="15"/>
      <c r="C44" s="127">
        <f t="shared" si="28"/>
        <v>3</v>
      </c>
      <c r="D44" s="422"/>
      <c r="E44" s="423"/>
      <c r="F44" s="423"/>
      <c r="G44" s="422"/>
      <c r="H44" s="422"/>
      <c r="I44" s="424"/>
      <c r="J44" s="1048"/>
      <c r="K44" s="1048"/>
      <c r="L44" s="1048"/>
      <c r="M44" s="1048"/>
      <c r="N44" s="1048"/>
      <c r="O44" s="1048"/>
      <c r="P44" s="1048"/>
      <c r="Q44" s="1048"/>
      <c r="R44" s="1048"/>
      <c r="S44" s="1048"/>
      <c r="T44" s="1048"/>
      <c r="U44" s="1048"/>
      <c r="V44" s="1048"/>
      <c r="W44" s="1048"/>
      <c r="X44" s="1048"/>
      <c r="Y44" s="1048"/>
      <c r="Z44" s="1048"/>
      <c r="AA44" s="1048"/>
      <c r="AB44" s="1048"/>
      <c r="AC44" s="1048"/>
      <c r="AD44" s="1048"/>
      <c r="AE44" s="1048"/>
      <c r="AF44" s="1048"/>
      <c r="AG44" s="1048"/>
      <c r="AH44" s="1048"/>
      <c r="AI44" s="1051"/>
      <c r="AJ44" s="146"/>
      <c r="AK44" s="146"/>
      <c r="AL44" s="12"/>
    </row>
    <row r="45" spans="2:38" ht="15" thickBot="1" x14ac:dyDescent="0.35">
      <c r="B45" s="15"/>
      <c r="C45" s="127">
        <f t="shared" si="28"/>
        <v>4</v>
      </c>
      <c r="D45" s="422">
        <f t="shared" ref="D45:D51" si="31">W14</f>
        <v>0</v>
      </c>
      <c r="E45" s="423"/>
      <c r="F45" s="423"/>
      <c r="G45" s="422">
        <f t="shared" ref="G45:G51" si="32">IF(D45="","",D45-E45-F45)</f>
        <v>0</v>
      </c>
      <c r="H45" s="422"/>
      <c r="I45" s="424"/>
      <c r="J45" s="417">
        <f t="shared" ref="J45:K50" si="33">IF($I14&gt;=25,$G45,IF(J$41&lt;=$I14,$G45,IF(J$41&lt;=($I14*($AE14+1)),$G45,0)))</f>
        <v>0</v>
      </c>
      <c r="K45" s="417">
        <f t="shared" si="33"/>
        <v>0</v>
      </c>
      <c r="L45" s="417">
        <f t="shared" ref="L45:AH45" si="34">IF($I14&gt;=25,$G45,IF(L$41&lt;=$I14,$G45,IF(L$41&lt;=($I14*($AE14+1)),$G45,0)))</f>
        <v>0</v>
      </c>
      <c r="M45" s="417">
        <f t="shared" si="34"/>
        <v>0</v>
      </c>
      <c r="N45" s="417">
        <f t="shared" si="34"/>
        <v>0</v>
      </c>
      <c r="O45" s="417">
        <f t="shared" si="34"/>
        <v>0</v>
      </c>
      <c r="P45" s="417">
        <f t="shared" si="34"/>
        <v>0</v>
      </c>
      <c r="Q45" s="417">
        <f t="shared" si="34"/>
        <v>0</v>
      </c>
      <c r="R45" s="417">
        <f t="shared" si="34"/>
        <v>0</v>
      </c>
      <c r="S45" s="417">
        <f t="shared" si="34"/>
        <v>0</v>
      </c>
      <c r="T45" s="417">
        <f t="shared" si="34"/>
        <v>0</v>
      </c>
      <c r="U45" s="417">
        <f t="shared" si="34"/>
        <v>0</v>
      </c>
      <c r="V45" s="417">
        <f t="shared" si="34"/>
        <v>0</v>
      </c>
      <c r="W45" s="417">
        <f t="shared" si="34"/>
        <v>0</v>
      </c>
      <c r="X45" s="417">
        <f t="shared" si="34"/>
        <v>0</v>
      </c>
      <c r="Y45" s="417">
        <f t="shared" si="34"/>
        <v>0</v>
      </c>
      <c r="Z45" s="417">
        <f t="shared" si="34"/>
        <v>0</v>
      </c>
      <c r="AA45" s="417">
        <f t="shared" si="34"/>
        <v>0</v>
      </c>
      <c r="AB45" s="417">
        <f t="shared" si="34"/>
        <v>0</v>
      </c>
      <c r="AC45" s="417">
        <f t="shared" si="34"/>
        <v>0</v>
      </c>
      <c r="AD45" s="417">
        <f t="shared" si="34"/>
        <v>0</v>
      </c>
      <c r="AE45" s="417">
        <f t="shared" si="34"/>
        <v>0</v>
      </c>
      <c r="AF45" s="417">
        <f t="shared" si="34"/>
        <v>0</v>
      </c>
      <c r="AG45" s="417">
        <f t="shared" si="34"/>
        <v>0</v>
      </c>
      <c r="AH45" s="417">
        <f t="shared" si="34"/>
        <v>0</v>
      </c>
      <c r="AI45" s="418">
        <f t="shared" si="30"/>
        <v>0</v>
      </c>
      <c r="AJ45" s="146"/>
      <c r="AK45" s="146"/>
      <c r="AL45" s="12"/>
    </row>
    <row r="46" spans="2:38" ht="15" thickBot="1" x14ac:dyDescent="0.35">
      <c r="B46" s="15"/>
      <c r="C46" s="129">
        <f t="shared" si="28"/>
        <v>5</v>
      </c>
      <c r="D46" s="422">
        <f t="shared" si="31"/>
        <v>0</v>
      </c>
      <c r="E46" s="423"/>
      <c r="F46" s="423"/>
      <c r="G46" s="422">
        <f t="shared" si="32"/>
        <v>0</v>
      </c>
      <c r="H46" s="422"/>
      <c r="I46" s="424"/>
      <c r="J46" s="417">
        <f t="shared" si="33"/>
        <v>0</v>
      </c>
      <c r="K46" s="417">
        <f t="shared" si="33"/>
        <v>0</v>
      </c>
      <c r="L46" s="417">
        <f t="shared" ref="L46:AH46" si="35">IF($I15&gt;=25,$G46,IF(L$41&lt;=$I15,$G46,IF(L$41&lt;=($I15*($AE15+1)),$G46,0)))</f>
        <v>0</v>
      </c>
      <c r="M46" s="417">
        <f t="shared" si="35"/>
        <v>0</v>
      </c>
      <c r="N46" s="417">
        <f t="shared" si="35"/>
        <v>0</v>
      </c>
      <c r="O46" s="417">
        <f t="shared" si="35"/>
        <v>0</v>
      </c>
      <c r="P46" s="417">
        <f t="shared" si="35"/>
        <v>0</v>
      </c>
      <c r="Q46" s="417">
        <f t="shared" si="35"/>
        <v>0</v>
      </c>
      <c r="R46" s="417">
        <f t="shared" si="35"/>
        <v>0</v>
      </c>
      <c r="S46" s="417">
        <f t="shared" si="35"/>
        <v>0</v>
      </c>
      <c r="T46" s="417">
        <f t="shared" si="35"/>
        <v>0</v>
      </c>
      <c r="U46" s="417">
        <f t="shared" si="35"/>
        <v>0</v>
      </c>
      <c r="V46" s="417">
        <f t="shared" si="35"/>
        <v>0</v>
      </c>
      <c r="W46" s="417">
        <f t="shared" si="35"/>
        <v>0</v>
      </c>
      <c r="X46" s="417">
        <f t="shared" si="35"/>
        <v>0</v>
      </c>
      <c r="Y46" s="417">
        <f t="shared" si="35"/>
        <v>0</v>
      </c>
      <c r="Z46" s="417">
        <f t="shared" si="35"/>
        <v>0</v>
      </c>
      <c r="AA46" s="417">
        <f t="shared" si="35"/>
        <v>0</v>
      </c>
      <c r="AB46" s="417">
        <f t="shared" si="35"/>
        <v>0</v>
      </c>
      <c r="AC46" s="417">
        <f t="shared" si="35"/>
        <v>0</v>
      </c>
      <c r="AD46" s="417">
        <f t="shared" si="35"/>
        <v>0</v>
      </c>
      <c r="AE46" s="417">
        <f t="shared" si="35"/>
        <v>0</v>
      </c>
      <c r="AF46" s="417">
        <f t="shared" si="35"/>
        <v>0</v>
      </c>
      <c r="AG46" s="417">
        <f t="shared" si="35"/>
        <v>0</v>
      </c>
      <c r="AH46" s="417">
        <f t="shared" si="35"/>
        <v>0</v>
      </c>
      <c r="AI46" s="418">
        <f t="shared" si="30"/>
        <v>0</v>
      </c>
      <c r="AJ46" s="146"/>
      <c r="AK46" s="146"/>
      <c r="AL46" s="12"/>
    </row>
    <row r="47" spans="2:38" ht="15" thickBot="1" x14ac:dyDescent="0.35">
      <c r="B47" s="15"/>
      <c r="C47" s="129">
        <f t="shared" si="28"/>
        <v>6</v>
      </c>
      <c r="D47" s="422">
        <f t="shared" si="31"/>
        <v>0</v>
      </c>
      <c r="E47" s="425"/>
      <c r="F47" s="425"/>
      <c r="G47" s="422">
        <f t="shared" si="32"/>
        <v>0</v>
      </c>
      <c r="H47" s="422"/>
      <c r="I47" s="426"/>
      <c r="J47" s="417">
        <f t="shared" si="33"/>
        <v>0</v>
      </c>
      <c r="K47" s="417">
        <f t="shared" si="33"/>
        <v>0</v>
      </c>
      <c r="L47" s="417">
        <f t="shared" ref="L47:AH47" si="36">IF($I16&gt;=25,$G47,IF(L$41&lt;=$I16,$G47,IF(L$41&lt;=($I16*($AE16+1)),$G47,0)))</f>
        <v>0</v>
      </c>
      <c r="M47" s="417">
        <f t="shared" si="36"/>
        <v>0</v>
      </c>
      <c r="N47" s="417">
        <f t="shared" si="36"/>
        <v>0</v>
      </c>
      <c r="O47" s="417">
        <f t="shared" si="36"/>
        <v>0</v>
      </c>
      <c r="P47" s="417">
        <f t="shared" si="36"/>
        <v>0</v>
      </c>
      <c r="Q47" s="417">
        <f t="shared" si="36"/>
        <v>0</v>
      </c>
      <c r="R47" s="417">
        <f t="shared" si="36"/>
        <v>0</v>
      </c>
      <c r="S47" s="417">
        <f t="shared" si="36"/>
        <v>0</v>
      </c>
      <c r="T47" s="417">
        <f t="shared" si="36"/>
        <v>0</v>
      </c>
      <c r="U47" s="417">
        <f t="shared" si="36"/>
        <v>0</v>
      </c>
      <c r="V47" s="417">
        <f t="shared" si="36"/>
        <v>0</v>
      </c>
      <c r="W47" s="417">
        <f t="shared" si="36"/>
        <v>0</v>
      </c>
      <c r="X47" s="417">
        <f t="shared" si="36"/>
        <v>0</v>
      </c>
      <c r="Y47" s="417">
        <f t="shared" si="36"/>
        <v>0</v>
      </c>
      <c r="Z47" s="417">
        <f t="shared" si="36"/>
        <v>0</v>
      </c>
      <c r="AA47" s="417">
        <f t="shared" si="36"/>
        <v>0</v>
      </c>
      <c r="AB47" s="417">
        <f t="shared" si="36"/>
        <v>0</v>
      </c>
      <c r="AC47" s="417">
        <f t="shared" si="36"/>
        <v>0</v>
      </c>
      <c r="AD47" s="417">
        <f t="shared" si="36"/>
        <v>0</v>
      </c>
      <c r="AE47" s="417">
        <f t="shared" si="36"/>
        <v>0</v>
      </c>
      <c r="AF47" s="417">
        <f t="shared" si="36"/>
        <v>0</v>
      </c>
      <c r="AG47" s="417">
        <f t="shared" si="36"/>
        <v>0</v>
      </c>
      <c r="AH47" s="417">
        <f t="shared" si="36"/>
        <v>0</v>
      </c>
      <c r="AI47" s="418">
        <f t="shared" si="30"/>
        <v>0</v>
      </c>
      <c r="AJ47" s="146"/>
      <c r="AK47" s="146"/>
      <c r="AL47" s="12"/>
    </row>
    <row r="48" spans="2:38" ht="15" thickBot="1" x14ac:dyDescent="0.35">
      <c r="B48" s="15"/>
      <c r="C48" s="129">
        <f t="shared" si="28"/>
        <v>7</v>
      </c>
      <c r="D48" s="422">
        <f t="shared" si="31"/>
        <v>0</v>
      </c>
      <c r="E48" s="425"/>
      <c r="F48" s="425"/>
      <c r="G48" s="422">
        <f t="shared" si="32"/>
        <v>0</v>
      </c>
      <c r="H48" s="422"/>
      <c r="I48" s="426"/>
      <c r="J48" s="417">
        <f t="shared" si="33"/>
        <v>0</v>
      </c>
      <c r="K48" s="417">
        <f t="shared" si="33"/>
        <v>0</v>
      </c>
      <c r="L48" s="417">
        <f t="shared" ref="L48:AH48" si="37">IF($I17&gt;=25,$G48,IF(L$41&lt;=$I17,$G48,IF(L$41&lt;=($I17*($AE17+1)),$G48,0)))</f>
        <v>0</v>
      </c>
      <c r="M48" s="417">
        <f t="shared" si="37"/>
        <v>0</v>
      </c>
      <c r="N48" s="417">
        <f t="shared" si="37"/>
        <v>0</v>
      </c>
      <c r="O48" s="417">
        <f t="shared" si="37"/>
        <v>0</v>
      </c>
      <c r="P48" s="417">
        <f t="shared" si="37"/>
        <v>0</v>
      </c>
      <c r="Q48" s="417">
        <f t="shared" si="37"/>
        <v>0</v>
      </c>
      <c r="R48" s="417">
        <f t="shared" si="37"/>
        <v>0</v>
      </c>
      <c r="S48" s="417">
        <f t="shared" si="37"/>
        <v>0</v>
      </c>
      <c r="T48" s="417">
        <f t="shared" si="37"/>
        <v>0</v>
      </c>
      <c r="U48" s="417">
        <f t="shared" si="37"/>
        <v>0</v>
      </c>
      <c r="V48" s="417">
        <f t="shared" si="37"/>
        <v>0</v>
      </c>
      <c r="W48" s="417">
        <f t="shared" si="37"/>
        <v>0</v>
      </c>
      <c r="X48" s="417">
        <f t="shared" si="37"/>
        <v>0</v>
      </c>
      <c r="Y48" s="417">
        <f t="shared" si="37"/>
        <v>0</v>
      </c>
      <c r="Z48" s="417">
        <f t="shared" si="37"/>
        <v>0</v>
      </c>
      <c r="AA48" s="417">
        <f t="shared" si="37"/>
        <v>0</v>
      </c>
      <c r="AB48" s="417">
        <f t="shared" si="37"/>
        <v>0</v>
      </c>
      <c r="AC48" s="417">
        <f t="shared" si="37"/>
        <v>0</v>
      </c>
      <c r="AD48" s="417">
        <f t="shared" si="37"/>
        <v>0</v>
      </c>
      <c r="AE48" s="417">
        <f t="shared" si="37"/>
        <v>0</v>
      </c>
      <c r="AF48" s="417">
        <f t="shared" si="37"/>
        <v>0</v>
      </c>
      <c r="AG48" s="417">
        <f t="shared" si="37"/>
        <v>0</v>
      </c>
      <c r="AH48" s="417">
        <f t="shared" si="37"/>
        <v>0</v>
      </c>
      <c r="AI48" s="418">
        <f t="shared" si="30"/>
        <v>0</v>
      </c>
      <c r="AJ48" s="146"/>
      <c r="AK48" s="146"/>
      <c r="AL48" s="12"/>
    </row>
    <row r="49" spans="2:38" ht="15" thickBot="1" x14ac:dyDescent="0.35">
      <c r="B49" s="15"/>
      <c r="C49" s="129">
        <f t="shared" si="28"/>
        <v>8</v>
      </c>
      <c r="D49" s="422">
        <f t="shared" si="31"/>
        <v>0</v>
      </c>
      <c r="E49" s="425"/>
      <c r="F49" s="425"/>
      <c r="G49" s="422">
        <f t="shared" si="32"/>
        <v>0</v>
      </c>
      <c r="H49" s="422"/>
      <c r="I49" s="426"/>
      <c r="J49" s="417">
        <f t="shared" si="33"/>
        <v>0</v>
      </c>
      <c r="K49" s="417">
        <f t="shared" si="33"/>
        <v>0</v>
      </c>
      <c r="L49" s="417">
        <f t="shared" ref="L49:AH49" si="38">IF($I18&gt;=25,$G49,IF(L$41&lt;=$I18,$G49,IF(L$41&lt;=($I18*($AE18+1)),$G49,0)))</f>
        <v>0</v>
      </c>
      <c r="M49" s="417">
        <f t="shared" si="38"/>
        <v>0</v>
      </c>
      <c r="N49" s="417">
        <f t="shared" si="38"/>
        <v>0</v>
      </c>
      <c r="O49" s="417">
        <f t="shared" si="38"/>
        <v>0</v>
      </c>
      <c r="P49" s="417">
        <f t="shared" si="38"/>
        <v>0</v>
      </c>
      <c r="Q49" s="417">
        <f t="shared" si="38"/>
        <v>0</v>
      </c>
      <c r="R49" s="417">
        <f t="shared" si="38"/>
        <v>0</v>
      </c>
      <c r="S49" s="417">
        <f t="shared" si="38"/>
        <v>0</v>
      </c>
      <c r="T49" s="417">
        <f t="shared" si="38"/>
        <v>0</v>
      </c>
      <c r="U49" s="417">
        <f t="shared" si="38"/>
        <v>0</v>
      </c>
      <c r="V49" s="417">
        <f t="shared" si="38"/>
        <v>0</v>
      </c>
      <c r="W49" s="417">
        <f t="shared" si="38"/>
        <v>0</v>
      </c>
      <c r="X49" s="417">
        <f t="shared" si="38"/>
        <v>0</v>
      </c>
      <c r="Y49" s="417">
        <f t="shared" si="38"/>
        <v>0</v>
      </c>
      <c r="Z49" s="417">
        <f t="shared" si="38"/>
        <v>0</v>
      </c>
      <c r="AA49" s="417">
        <f t="shared" si="38"/>
        <v>0</v>
      </c>
      <c r="AB49" s="417">
        <f t="shared" si="38"/>
        <v>0</v>
      </c>
      <c r="AC49" s="417">
        <f t="shared" si="38"/>
        <v>0</v>
      </c>
      <c r="AD49" s="417">
        <f t="shared" si="38"/>
        <v>0</v>
      </c>
      <c r="AE49" s="417">
        <f t="shared" si="38"/>
        <v>0</v>
      </c>
      <c r="AF49" s="417">
        <f t="shared" si="38"/>
        <v>0</v>
      </c>
      <c r="AG49" s="417">
        <f t="shared" si="38"/>
        <v>0</v>
      </c>
      <c r="AH49" s="417">
        <f t="shared" si="38"/>
        <v>0</v>
      </c>
      <c r="AI49" s="418">
        <f t="shared" si="30"/>
        <v>0</v>
      </c>
      <c r="AJ49" s="146"/>
      <c r="AK49" s="146"/>
      <c r="AL49" s="12"/>
    </row>
    <row r="50" spans="2:38" ht="15" thickBot="1" x14ac:dyDescent="0.35">
      <c r="B50" s="15"/>
      <c r="C50" s="129">
        <f t="shared" si="28"/>
        <v>9</v>
      </c>
      <c r="D50" s="422">
        <f t="shared" si="31"/>
        <v>0</v>
      </c>
      <c r="E50" s="425"/>
      <c r="F50" s="425"/>
      <c r="G50" s="422">
        <f t="shared" si="32"/>
        <v>0</v>
      </c>
      <c r="H50" s="422"/>
      <c r="I50" s="426"/>
      <c r="J50" s="417">
        <f t="shared" si="33"/>
        <v>0</v>
      </c>
      <c r="K50" s="417">
        <f t="shared" si="33"/>
        <v>0</v>
      </c>
      <c r="L50" s="417">
        <f t="shared" ref="L50:AH50" si="39">IF($I19&gt;=25,$G50,IF(L$41&lt;=$I19,$G50,IF(L$41&lt;=($I19*($AE19+1)),$G50,0)))</f>
        <v>0</v>
      </c>
      <c r="M50" s="417">
        <f t="shared" si="39"/>
        <v>0</v>
      </c>
      <c r="N50" s="417">
        <f t="shared" si="39"/>
        <v>0</v>
      </c>
      <c r="O50" s="417">
        <f t="shared" si="39"/>
        <v>0</v>
      </c>
      <c r="P50" s="417">
        <f t="shared" si="39"/>
        <v>0</v>
      </c>
      <c r="Q50" s="417">
        <f t="shared" si="39"/>
        <v>0</v>
      </c>
      <c r="R50" s="417">
        <f t="shared" si="39"/>
        <v>0</v>
      </c>
      <c r="S50" s="417">
        <f t="shared" si="39"/>
        <v>0</v>
      </c>
      <c r="T50" s="417">
        <f t="shared" si="39"/>
        <v>0</v>
      </c>
      <c r="U50" s="417">
        <f t="shared" si="39"/>
        <v>0</v>
      </c>
      <c r="V50" s="417">
        <f t="shared" si="39"/>
        <v>0</v>
      </c>
      <c r="W50" s="417">
        <f t="shared" si="39"/>
        <v>0</v>
      </c>
      <c r="X50" s="417">
        <f t="shared" si="39"/>
        <v>0</v>
      </c>
      <c r="Y50" s="417">
        <f t="shared" si="39"/>
        <v>0</v>
      </c>
      <c r="Z50" s="417">
        <f t="shared" si="39"/>
        <v>0</v>
      </c>
      <c r="AA50" s="417">
        <f t="shared" si="39"/>
        <v>0</v>
      </c>
      <c r="AB50" s="417">
        <f t="shared" si="39"/>
        <v>0</v>
      </c>
      <c r="AC50" s="417">
        <f t="shared" si="39"/>
        <v>0</v>
      </c>
      <c r="AD50" s="417">
        <f t="shared" si="39"/>
        <v>0</v>
      </c>
      <c r="AE50" s="417">
        <f t="shared" si="39"/>
        <v>0</v>
      </c>
      <c r="AF50" s="417">
        <f t="shared" si="39"/>
        <v>0</v>
      </c>
      <c r="AG50" s="417">
        <f t="shared" si="39"/>
        <v>0</v>
      </c>
      <c r="AH50" s="417">
        <f t="shared" si="39"/>
        <v>0</v>
      </c>
      <c r="AI50" s="418">
        <f t="shared" si="30"/>
        <v>0</v>
      </c>
      <c r="AJ50" s="146"/>
      <c r="AK50" s="146"/>
      <c r="AL50" s="12"/>
    </row>
    <row r="51" spans="2:38" ht="15.75" customHeight="1" thickBot="1" x14ac:dyDescent="0.35">
      <c r="B51" s="15"/>
      <c r="C51" s="129">
        <f t="shared" si="28"/>
        <v>10</v>
      </c>
      <c r="D51" s="422">
        <f t="shared" si="31"/>
        <v>0</v>
      </c>
      <c r="E51" s="425"/>
      <c r="F51" s="425"/>
      <c r="G51" s="422">
        <f t="shared" si="32"/>
        <v>0</v>
      </c>
      <c r="H51" s="422"/>
      <c r="I51" s="426"/>
      <c r="J51" s="417">
        <f>IF($I20&gt;=25,$G51,IF(J$41&lt;=$I20,$G51,IF(J$41&lt;=($I20*($AE20+1)),$G51,0)))</f>
        <v>0</v>
      </c>
      <c r="K51" s="417">
        <f>IF($I20&gt;=25,$G51,IF(K$41&lt;=$I20,$G51,IF(K$41&lt;=($I20*($AE20+1)),$G51,0)))</f>
        <v>0</v>
      </c>
      <c r="L51" s="417">
        <f t="shared" ref="L51:AH51" si="40">IF($I20&gt;=25,$G51,IF(L$41&lt;=$I20,$G51,IF(L$41&lt;=($I20*($AE20+1)),$G51,0)))</f>
        <v>0</v>
      </c>
      <c r="M51" s="417">
        <f t="shared" si="40"/>
        <v>0</v>
      </c>
      <c r="N51" s="417">
        <f t="shared" si="40"/>
        <v>0</v>
      </c>
      <c r="O51" s="417">
        <f t="shared" si="40"/>
        <v>0</v>
      </c>
      <c r="P51" s="417">
        <f t="shared" si="40"/>
        <v>0</v>
      </c>
      <c r="Q51" s="417">
        <f t="shared" si="40"/>
        <v>0</v>
      </c>
      <c r="R51" s="417">
        <f t="shared" si="40"/>
        <v>0</v>
      </c>
      <c r="S51" s="417">
        <f t="shared" si="40"/>
        <v>0</v>
      </c>
      <c r="T51" s="417">
        <f t="shared" si="40"/>
        <v>0</v>
      </c>
      <c r="U51" s="417">
        <f t="shared" si="40"/>
        <v>0</v>
      </c>
      <c r="V51" s="417">
        <f t="shared" si="40"/>
        <v>0</v>
      </c>
      <c r="W51" s="417">
        <f t="shared" si="40"/>
        <v>0</v>
      </c>
      <c r="X51" s="417">
        <f t="shared" si="40"/>
        <v>0</v>
      </c>
      <c r="Y51" s="417">
        <f t="shared" si="40"/>
        <v>0</v>
      </c>
      <c r="Z51" s="417">
        <f t="shared" si="40"/>
        <v>0</v>
      </c>
      <c r="AA51" s="417">
        <f t="shared" si="40"/>
        <v>0</v>
      </c>
      <c r="AB51" s="417">
        <f t="shared" si="40"/>
        <v>0</v>
      </c>
      <c r="AC51" s="417">
        <f t="shared" si="40"/>
        <v>0</v>
      </c>
      <c r="AD51" s="417">
        <f t="shared" si="40"/>
        <v>0</v>
      </c>
      <c r="AE51" s="417">
        <f t="shared" si="40"/>
        <v>0</v>
      </c>
      <c r="AF51" s="417">
        <f t="shared" si="40"/>
        <v>0</v>
      </c>
      <c r="AG51" s="417">
        <f t="shared" si="40"/>
        <v>0</v>
      </c>
      <c r="AH51" s="417">
        <f t="shared" si="40"/>
        <v>0</v>
      </c>
      <c r="AI51" s="419">
        <f>SUM(P51:AH51)</f>
        <v>0</v>
      </c>
      <c r="AJ51" s="146"/>
      <c r="AK51" s="146"/>
      <c r="AL51" s="12"/>
    </row>
    <row r="52" spans="2:38" ht="15" thickBot="1" x14ac:dyDescent="0.35">
      <c r="B52" s="15"/>
      <c r="C52" s="131"/>
      <c r="D52" s="423"/>
      <c r="E52" s="423"/>
      <c r="F52" s="423"/>
      <c r="G52" s="424"/>
      <c r="H52" s="424"/>
      <c r="I52" s="427" t="s">
        <v>54</v>
      </c>
      <c r="J52" s="420">
        <f t="shared" ref="J52:AH52" si="41">SUM(J42:J51)</f>
        <v>0</v>
      </c>
      <c r="K52" s="420">
        <f t="shared" si="41"/>
        <v>0</v>
      </c>
      <c r="L52" s="420">
        <f t="shared" si="41"/>
        <v>0</v>
      </c>
      <c r="M52" s="420">
        <f t="shared" si="41"/>
        <v>0</v>
      </c>
      <c r="N52" s="420">
        <f t="shared" si="41"/>
        <v>0</v>
      </c>
      <c r="O52" s="420">
        <f t="shared" si="41"/>
        <v>0</v>
      </c>
      <c r="P52" s="420">
        <f t="shared" si="41"/>
        <v>0</v>
      </c>
      <c r="Q52" s="420">
        <f t="shared" si="41"/>
        <v>0</v>
      </c>
      <c r="R52" s="420">
        <f t="shared" si="41"/>
        <v>0</v>
      </c>
      <c r="S52" s="420">
        <f t="shared" si="41"/>
        <v>0</v>
      </c>
      <c r="T52" s="420">
        <f t="shared" si="41"/>
        <v>0</v>
      </c>
      <c r="U52" s="420">
        <f t="shared" si="41"/>
        <v>0</v>
      </c>
      <c r="V52" s="420">
        <f t="shared" si="41"/>
        <v>0</v>
      </c>
      <c r="W52" s="420">
        <f t="shared" si="41"/>
        <v>0</v>
      </c>
      <c r="X52" s="420">
        <f t="shared" si="41"/>
        <v>0</v>
      </c>
      <c r="Y52" s="420">
        <f t="shared" si="41"/>
        <v>0</v>
      </c>
      <c r="Z52" s="420">
        <f t="shared" si="41"/>
        <v>0</v>
      </c>
      <c r="AA52" s="420">
        <f t="shared" si="41"/>
        <v>0</v>
      </c>
      <c r="AB52" s="420">
        <f t="shared" si="41"/>
        <v>0</v>
      </c>
      <c r="AC52" s="420">
        <f t="shared" si="41"/>
        <v>0</v>
      </c>
      <c r="AD52" s="420">
        <f t="shared" si="41"/>
        <v>0</v>
      </c>
      <c r="AE52" s="420">
        <f t="shared" si="41"/>
        <v>0</v>
      </c>
      <c r="AF52" s="420">
        <f t="shared" si="41"/>
        <v>0</v>
      </c>
      <c r="AG52" s="420">
        <f t="shared" si="41"/>
        <v>0</v>
      </c>
      <c r="AH52" s="420">
        <f t="shared" si="41"/>
        <v>0</v>
      </c>
      <c r="AI52" s="421">
        <f>SUM(AI42:AI51)</f>
        <v>0</v>
      </c>
      <c r="AJ52" s="146"/>
      <c r="AK52" s="146"/>
      <c r="AL52" s="12"/>
    </row>
    <row r="53" spans="2:38" ht="24.75" customHeight="1" thickBot="1" x14ac:dyDescent="0.35">
      <c r="B53" s="15"/>
      <c r="C53" s="133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5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7"/>
      <c r="AJ53" s="146"/>
      <c r="AK53" s="146"/>
      <c r="AL53" s="12"/>
    </row>
    <row r="54" spans="2:38" ht="24.75" customHeight="1" x14ac:dyDescent="0.3">
      <c r="B54" s="15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46"/>
      <c r="AK54" s="146"/>
      <c r="AL54" s="12"/>
    </row>
    <row r="55" spans="2:38" x14ac:dyDescent="0.3">
      <c r="B55" s="15"/>
      <c r="C55" s="2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46"/>
      <c r="AK55" s="146"/>
      <c r="AL55" s="12"/>
    </row>
    <row r="56" spans="2:38" x14ac:dyDescent="0.3">
      <c r="B56" s="15"/>
      <c r="C56" s="2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46"/>
      <c r="AK56" s="146"/>
      <c r="AL56" s="12"/>
    </row>
    <row r="57" spans="2:38" ht="15" thickBot="1" x14ac:dyDescent="0.35">
      <c r="B57" s="139"/>
      <c r="C57" s="14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30"/>
    </row>
    <row r="58" spans="2:38" x14ac:dyDescent="0.3">
      <c r="AD58" s="3"/>
      <c r="AE58" s="3"/>
      <c r="AK58" s="76"/>
    </row>
    <row r="59" spans="2:38" x14ac:dyDescent="0.3">
      <c r="AD59" s="3"/>
      <c r="AE59" s="3"/>
      <c r="AK59" s="76"/>
    </row>
    <row r="60" spans="2:38" x14ac:dyDescent="0.3">
      <c r="AK60" s="76"/>
    </row>
    <row r="61" spans="2:38" x14ac:dyDescent="0.3">
      <c r="AK61" s="76"/>
    </row>
    <row r="62" spans="2:38" x14ac:dyDescent="0.3">
      <c r="AK62" s="76"/>
    </row>
    <row r="63" spans="2:38" x14ac:dyDescent="0.3">
      <c r="AK63" s="76"/>
    </row>
    <row r="64" spans="2:38" x14ac:dyDescent="0.3">
      <c r="AK64" s="76"/>
    </row>
    <row r="65" spans="37:37" x14ac:dyDescent="0.3">
      <c r="AK65" s="76"/>
    </row>
    <row r="66" spans="37:37" x14ac:dyDescent="0.3">
      <c r="AK66" s="76"/>
    </row>
    <row r="67" spans="37:37" x14ac:dyDescent="0.3">
      <c r="AK67" s="76"/>
    </row>
    <row r="68" spans="37:37" x14ac:dyDescent="0.3">
      <c r="AK68" s="76"/>
    </row>
    <row r="69" spans="37:37" x14ac:dyDescent="0.3">
      <c r="AK69" s="76"/>
    </row>
    <row r="70" spans="37:37" x14ac:dyDescent="0.3">
      <c r="AK70" s="76"/>
    </row>
    <row r="71" spans="37:37" x14ac:dyDescent="0.3">
      <c r="AK71" s="76"/>
    </row>
    <row r="72" spans="37:37" x14ac:dyDescent="0.3">
      <c r="AK72" s="76"/>
    </row>
    <row r="73" spans="37:37" x14ac:dyDescent="0.3">
      <c r="AK73" s="76"/>
    </row>
    <row r="74" spans="37:37" x14ac:dyDescent="0.3">
      <c r="AK74" s="76"/>
    </row>
    <row r="75" spans="37:37" x14ac:dyDescent="0.3">
      <c r="AK75" s="76"/>
    </row>
    <row r="76" spans="37:37" x14ac:dyDescent="0.3">
      <c r="AK76" s="76"/>
    </row>
    <row r="77" spans="37:37" x14ac:dyDescent="0.3">
      <c r="AK77" s="76"/>
    </row>
    <row r="78" spans="37:37" x14ac:dyDescent="0.3">
      <c r="AK78" s="76"/>
    </row>
    <row r="79" spans="37:37" x14ac:dyDescent="0.3">
      <c r="AK79" s="76"/>
    </row>
    <row r="80" spans="37:37" x14ac:dyDescent="0.3">
      <c r="AK80" s="76"/>
    </row>
    <row r="81" spans="37:37" x14ac:dyDescent="0.3">
      <c r="AK81" s="76"/>
    </row>
    <row r="82" spans="37:37" x14ac:dyDescent="0.3">
      <c r="AK82" s="76"/>
    </row>
    <row r="83" spans="37:37" x14ac:dyDescent="0.3">
      <c r="AK83" s="76"/>
    </row>
    <row r="84" spans="37:37" x14ac:dyDescent="0.3">
      <c r="AK84" s="76"/>
    </row>
    <row r="85" spans="37:37" x14ac:dyDescent="0.3">
      <c r="AK85" s="76"/>
    </row>
    <row r="86" spans="37:37" x14ac:dyDescent="0.3">
      <c r="AK86" s="76"/>
    </row>
    <row r="87" spans="37:37" x14ac:dyDescent="0.3">
      <c r="AK87" s="76"/>
    </row>
    <row r="88" spans="37:37" x14ac:dyDescent="0.3">
      <c r="AK88" s="76"/>
    </row>
    <row r="89" spans="37:37" x14ac:dyDescent="0.3">
      <c r="AK89" s="76"/>
    </row>
    <row r="90" spans="37:37" x14ac:dyDescent="0.3">
      <c r="AK90" s="76"/>
    </row>
    <row r="91" spans="37:37" x14ac:dyDescent="0.3">
      <c r="AK91" s="76"/>
    </row>
    <row r="93" spans="37:37" x14ac:dyDescent="0.3">
      <c r="AK93" s="76"/>
    </row>
    <row r="95" spans="37:37" x14ac:dyDescent="0.3">
      <c r="AK95" s="76"/>
    </row>
    <row r="97" spans="37:37" x14ac:dyDescent="0.3">
      <c r="AK97" s="76"/>
    </row>
    <row r="99" spans="37:37" x14ac:dyDescent="0.3">
      <c r="AK99" s="76"/>
    </row>
    <row r="101" spans="37:37" x14ac:dyDescent="0.3">
      <c r="AK101" s="76"/>
    </row>
    <row r="103" spans="37:37" x14ac:dyDescent="0.3">
      <c r="AK103" s="76"/>
    </row>
    <row r="105" spans="37:37" x14ac:dyDescent="0.3">
      <c r="AK105" s="76"/>
    </row>
    <row r="106" spans="37:37" x14ac:dyDescent="0.3">
      <c r="AK106" s="3">
        <v>76</v>
      </c>
    </row>
    <row r="107" spans="37:37" x14ac:dyDescent="0.3">
      <c r="AK107" s="76">
        <v>77</v>
      </c>
    </row>
    <row r="108" spans="37:37" x14ac:dyDescent="0.3">
      <c r="AK108" s="3">
        <v>78</v>
      </c>
    </row>
  </sheetData>
  <sheetProtection algorithmName="SHA-512" hashValue="+wB122BwDdENWItTXO3PWff9LXkSNKLqc/S69aPuof0eqtvc526SrRnryv2CCp8M9mUKRIiVMJ/d1jXZxhc0MA==" saltValue="sw1WR3c1slvDSEPV7TQOqw==" spinCount="100000" sheet="1" objects="1" scenarios="1" insertRows="0" selectLockedCells="1"/>
  <protectedRanges>
    <protectedRange sqref="E10:E12 F10 G10:H12 J10:N10 R10:V10 R14:V20 AC10:AD12 AE10 AC14:AE20 AG14:AH20 AG10:AH12 D14:N20" name="Folha7.i"/>
  </protectedRanges>
  <mergeCells count="91">
    <mergeCell ref="AF42:AF44"/>
    <mergeCell ref="AG42:AG44"/>
    <mergeCell ref="AH42:AH44"/>
    <mergeCell ref="AI42:AI44"/>
    <mergeCell ref="AA42:AA44"/>
    <mergeCell ref="AB42:AB44"/>
    <mergeCell ref="AC42:AC44"/>
    <mergeCell ref="AD42:AD44"/>
    <mergeCell ref="AE42:AE44"/>
    <mergeCell ref="V42:V44"/>
    <mergeCell ref="W42:W44"/>
    <mergeCell ref="X42:X44"/>
    <mergeCell ref="Y42:Y44"/>
    <mergeCell ref="Z42:Z44"/>
    <mergeCell ref="AF29:AF31"/>
    <mergeCell ref="AG29:AG31"/>
    <mergeCell ref="AH29:AH31"/>
    <mergeCell ref="AI29:AI31"/>
    <mergeCell ref="J42:J44"/>
    <mergeCell ref="K42:K44"/>
    <mergeCell ref="L42:L44"/>
    <mergeCell ref="M42:M44"/>
    <mergeCell ref="N42:N44"/>
    <mergeCell ref="O42:O44"/>
    <mergeCell ref="P42:P44"/>
    <mergeCell ref="Q42:Q44"/>
    <mergeCell ref="R42:R44"/>
    <mergeCell ref="S42:S44"/>
    <mergeCell ref="T42:T44"/>
    <mergeCell ref="U42:U44"/>
    <mergeCell ref="AA29:AA31"/>
    <mergeCell ref="AB29:AB31"/>
    <mergeCell ref="AC29:AC31"/>
    <mergeCell ref="AD29:AD31"/>
    <mergeCell ref="AE29:AE31"/>
    <mergeCell ref="V29:V31"/>
    <mergeCell ref="W29:W31"/>
    <mergeCell ref="X29:X31"/>
    <mergeCell ref="Y29:Y31"/>
    <mergeCell ref="Z29:Z31"/>
    <mergeCell ref="C13:E13"/>
    <mergeCell ref="C9:E9"/>
    <mergeCell ref="H10:H12"/>
    <mergeCell ref="AE21:AF21"/>
    <mergeCell ref="J29:J31"/>
    <mergeCell ref="K29:K31"/>
    <mergeCell ref="L29:L31"/>
    <mergeCell ref="M29:M31"/>
    <mergeCell ref="N29:N31"/>
    <mergeCell ref="O29:O31"/>
    <mergeCell ref="P29:P31"/>
    <mergeCell ref="Q29:Q31"/>
    <mergeCell ref="R29:R31"/>
    <mergeCell ref="S29:S31"/>
    <mergeCell ref="T29:T31"/>
    <mergeCell ref="U29:U31"/>
    <mergeCell ref="G28:I28"/>
    <mergeCell ref="AG6:AK6"/>
    <mergeCell ref="C22:D22"/>
    <mergeCell ref="G41:I41"/>
    <mergeCell ref="C23:D23"/>
    <mergeCell ref="R7:W7"/>
    <mergeCell ref="Z7:AA7"/>
    <mergeCell ref="R6:AF6"/>
    <mergeCell ref="J26:AI26"/>
    <mergeCell ref="J27:AH27"/>
    <mergeCell ref="J10:J12"/>
    <mergeCell ref="K10:K12"/>
    <mergeCell ref="L10:L12"/>
    <mergeCell ref="M10:M12"/>
    <mergeCell ref="N10:N12"/>
    <mergeCell ref="O10:O12"/>
    <mergeCell ref="C3:E3"/>
    <mergeCell ref="C4:I4"/>
    <mergeCell ref="C5:E5"/>
    <mergeCell ref="J7:O7"/>
    <mergeCell ref="J6:Q6"/>
    <mergeCell ref="P10:P12"/>
    <mergeCell ref="Q10:Q12"/>
    <mergeCell ref="R10:R12"/>
    <mergeCell ref="S10:S12"/>
    <mergeCell ref="T10:T12"/>
    <mergeCell ref="U10:U12"/>
    <mergeCell ref="V10:V12"/>
    <mergeCell ref="W10:W12"/>
    <mergeCell ref="AK10:AK12"/>
    <mergeCell ref="X10:X12"/>
    <mergeCell ref="Y10:Y12"/>
    <mergeCell ref="Z10:Z12"/>
    <mergeCell ref="AA10:AA12"/>
    <mergeCell ref="AB10:AB12"/>
  </mergeCells>
  <pageMargins left="0.7" right="0.7" top="0.75" bottom="0.75" header="0.3" footer="0.3"/>
  <pageSetup paperSize="9" orientation="portrait" r:id="rId1"/>
  <ignoredErrors>
    <ignoredError sqref="AI1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'15. Valores-Padrão'!$C$13:$C$15</xm:f>
          </x14:formula1>
          <xm:sqref>F10</xm:sqref>
        </x14:dataValidation>
        <x14:dataValidation type="list" allowBlank="1" showInputMessage="1" showErrorMessage="1">
          <x14:formula1>
            <xm:f>'15. Valores-Padrão'!$D$13:$D$15</xm:f>
          </x14:formula1>
          <xm:sqref>G10</xm:sqref>
        </x14:dataValidation>
        <x14:dataValidation type="list" allowBlank="1" showInputMessage="1" showErrorMessage="1">
          <x14:formula1>
            <xm:f>'15. Valores-Padrão'!$C$17</xm:f>
          </x14:formula1>
          <xm:sqref>F12</xm:sqref>
        </x14:dataValidation>
        <x14:dataValidation type="list" allowBlank="1" showInputMessage="1" showErrorMessage="1">
          <x14:formula1>
            <xm:f>'15. Valores-Padrão'!$C$16</xm:f>
          </x14:formula1>
          <xm:sqref>F11</xm:sqref>
        </x14:dataValidation>
        <x14:dataValidation type="list" allowBlank="1" showInputMessage="1" showErrorMessage="1">
          <x14:formula1>
            <xm:f>'16. Fatores de conversão'!$M$2:$M$3</xm:f>
          </x14:formula1>
          <xm:sqref>E10:E12 E14:E20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BE108"/>
  <sheetViews>
    <sheetView showGridLines="0" topLeftCell="P10" zoomScaleNormal="100" workbookViewId="0">
      <selection activeCell="AB16" sqref="AB16"/>
    </sheetView>
  </sheetViews>
  <sheetFormatPr defaultColWidth="9.109375" defaultRowHeight="14.4" x14ac:dyDescent="0.3"/>
  <cols>
    <col min="1" max="2" width="9.109375" style="3"/>
    <col min="3" max="3" width="11.5546875" style="1" customWidth="1"/>
    <col min="4" max="4" width="37.6640625" style="3" bestFit="1" customWidth="1"/>
    <col min="5" max="5" width="21.6640625" style="3" customWidth="1"/>
    <col min="6" max="6" width="62.33203125" style="3" customWidth="1"/>
    <col min="7" max="25" width="13.5546875" style="3" customWidth="1"/>
    <col min="26" max="27" width="13.5546875" style="4" customWidth="1"/>
    <col min="28" max="31" width="13.5546875" style="3" customWidth="1"/>
    <col min="32" max="32" width="17.6640625" style="3" customWidth="1"/>
    <col min="33" max="33" width="13.5546875" style="3" customWidth="1"/>
    <col min="34" max="34" width="17.33203125" style="3" customWidth="1"/>
    <col min="35" max="35" width="16.88671875" style="3" customWidth="1"/>
    <col min="36" max="36" width="13.5546875" style="3" customWidth="1"/>
    <col min="37" max="37" width="11.88671875" style="3" customWidth="1"/>
    <col min="38" max="40" width="9.109375" style="3"/>
    <col min="41" max="41" width="18.5546875" style="3" customWidth="1"/>
    <col min="42" max="42" width="25.6640625" style="3" customWidth="1"/>
    <col min="43" max="46" width="18.5546875" style="3" customWidth="1"/>
    <col min="47" max="50" width="11.33203125" style="3" customWidth="1"/>
    <col min="51" max="16384" width="9.109375" style="3"/>
  </cols>
  <sheetData>
    <row r="1" spans="2:57" ht="15.75" thickBot="1" x14ac:dyDescent="0.3"/>
    <row r="2" spans="2:57" ht="15" x14ac:dyDescent="0.25">
      <c r="B2" s="55"/>
      <c r="C2" s="5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57"/>
      <c r="AA2" s="57"/>
      <c r="AB2" s="7"/>
      <c r="AC2" s="7"/>
      <c r="AD2" s="7"/>
      <c r="AE2" s="7"/>
      <c r="AF2" s="7"/>
      <c r="AG2" s="7"/>
      <c r="AH2" s="7"/>
      <c r="AI2" s="7"/>
      <c r="AJ2" s="7"/>
      <c r="AK2" s="8"/>
    </row>
    <row r="3" spans="2:57" ht="21" x14ac:dyDescent="0.25">
      <c r="B3" s="15"/>
      <c r="C3" s="937" t="s">
        <v>33</v>
      </c>
      <c r="D3" s="937"/>
      <c r="E3" s="937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K3" s="12"/>
    </row>
    <row r="4" spans="2:57" ht="50.25" customHeight="1" x14ac:dyDescent="0.3">
      <c r="B4" s="15"/>
      <c r="C4" s="985" t="s">
        <v>244</v>
      </c>
      <c r="D4" s="985"/>
      <c r="E4" s="985"/>
      <c r="F4" s="985"/>
      <c r="G4" s="985"/>
      <c r="H4" s="98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6"/>
      <c r="AA4" s="36"/>
      <c r="AB4" s="11"/>
      <c r="AC4" s="11"/>
      <c r="AD4" s="11"/>
      <c r="AE4" s="11"/>
      <c r="AF4" s="11"/>
      <c r="AG4" s="11"/>
      <c r="AH4" s="11"/>
      <c r="AK4" s="12"/>
    </row>
    <row r="5" spans="2:57" ht="38.25" customHeight="1" thickBot="1" x14ac:dyDescent="0.35">
      <c r="B5" s="15"/>
      <c r="C5" s="986" t="s">
        <v>35</v>
      </c>
      <c r="D5" s="986"/>
      <c r="E5" s="986"/>
      <c r="F5" s="58"/>
      <c r="G5" s="58"/>
      <c r="H5" s="58"/>
      <c r="I5" s="11"/>
      <c r="J5" s="11"/>
      <c r="K5" s="11"/>
      <c r="L5" s="11"/>
      <c r="M5" s="11"/>
      <c r="N5" s="11"/>
      <c r="O5" s="11"/>
      <c r="AK5" s="12"/>
      <c r="AS5" s="143"/>
      <c r="AT5" s="143"/>
      <c r="AU5" s="143"/>
      <c r="AV5" s="143"/>
    </row>
    <row r="6" spans="2:57" s="63" customFormat="1" ht="15" thickBot="1" x14ac:dyDescent="0.35">
      <c r="B6" s="59"/>
      <c r="C6" s="60"/>
      <c r="D6" s="61"/>
      <c r="E6" s="61"/>
      <c r="F6" s="61"/>
      <c r="G6" s="61"/>
      <c r="H6" s="61"/>
      <c r="I6" s="968" t="s">
        <v>12</v>
      </c>
      <c r="J6" s="969"/>
      <c r="K6" s="969"/>
      <c r="L6" s="969"/>
      <c r="M6" s="969"/>
      <c r="N6" s="969"/>
      <c r="O6" s="969"/>
      <c r="P6" s="970"/>
      <c r="Q6" s="968" t="s">
        <v>15</v>
      </c>
      <c r="R6" s="969"/>
      <c r="S6" s="969"/>
      <c r="T6" s="969"/>
      <c r="U6" s="969"/>
      <c r="V6" s="969"/>
      <c r="W6" s="969"/>
      <c r="X6" s="969"/>
      <c r="Y6" s="969"/>
      <c r="Z6" s="969"/>
      <c r="AA6" s="969"/>
      <c r="AB6" s="969"/>
      <c r="AC6" s="969"/>
      <c r="AD6" s="969"/>
      <c r="AE6" s="970"/>
      <c r="AF6" s="968" t="s">
        <v>0</v>
      </c>
      <c r="AG6" s="969"/>
      <c r="AH6" s="969"/>
      <c r="AI6" s="969"/>
      <c r="AJ6" s="970"/>
      <c r="AK6" s="12"/>
      <c r="AN6" s="61"/>
      <c r="AO6" s="61"/>
      <c r="AP6" s="61"/>
      <c r="AQ6" s="61"/>
      <c r="AR6" s="61"/>
      <c r="AS6" s="143"/>
      <c r="AT6" s="143"/>
      <c r="AU6" s="143"/>
      <c r="AV6" s="143"/>
    </row>
    <row r="7" spans="2:57" s="76" customFormat="1" ht="51.75" customHeight="1" thickBot="1" x14ac:dyDescent="0.35">
      <c r="B7" s="64"/>
      <c r="C7" s="65"/>
      <c r="D7" s="66"/>
      <c r="E7" s="66"/>
      <c r="F7" s="66"/>
      <c r="G7" s="67" t="s">
        <v>69</v>
      </c>
      <c r="H7" s="68" t="s">
        <v>14</v>
      </c>
      <c r="I7" s="1003" t="s">
        <v>171</v>
      </c>
      <c r="J7" s="1004"/>
      <c r="K7" s="1004"/>
      <c r="L7" s="1004"/>
      <c r="M7" s="1004"/>
      <c r="N7" s="1004"/>
      <c r="O7" s="612" t="s">
        <v>207</v>
      </c>
      <c r="P7" s="797" t="s">
        <v>175</v>
      </c>
      <c r="Q7" s="1064" t="s">
        <v>180</v>
      </c>
      <c r="R7" s="1065"/>
      <c r="S7" s="1065"/>
      <c r="T7" s="1065"/>
      <c r="U7" s="1065"/>
      <c r="V7" s="1066"/>
      <c r="W7" s="797" t="s">
        <v>118</v>
      </c>
      <c r="X7" s="612" t="s">
        <v>2</v>
      </c>
      <c r="Y7" s="981" t="s">
        <v>3</v>
      </c>
      <c r="Z7" s="981"/>
      <c r="AA7" s="612" t="s">
        <v>182</v>
      </c>
      <c r="AB7" s="71" t="s">
        <v>183</v>
      </c>
      <c r="AC7" s="72" t="s">
        <v>119</v>
      </c>
      <c r="AD7" s="73" t="s">
        <v>187</v>
      </c>
      <c r="AE7" s="795" t="s">
        <v>188</v>
      </c>
      <c r="AF7" s="75" t="s">
        <v>194</v>
      </c>
      <c r="AG7" s="72" t="s">
        <v>142</v>
      </c>
      <c r="AH7" s="612" t="s">
        <v>245</v>
      </c>
      <c r="AI7" s="612" t="s">
        <v>50</v>
      </c>
      <c r="AJ7" s="795" t="s">
        <v>1</v>
      </c>
      <c r="AK7" s="12"/>
      <c r="AM7" s="66"/>
      <c r="AN7" s="66"/>
      <c r="AO7" s="66"/>
      <c r="AP7" s="66"/>
      <c r="AQ7" s="66"/>
      <c r="AR7" s="66"/>
      <c r="AS7" s="143"/>
      <c r="AT7" s="143"/>
      <c r="AU7" s="143"/>
      <c r="AV7" s="143"/>
      <c r="AX7" s="66"/>
      <c r="AY7" s="66"/>
      <c r="AZ7" s="66"/>
      <c r="BA7" s="66"/>
      <c r="BB7" s="66"/>
      <c r="BC7" s="66"/>
      <c r="BD7" s="66"/>
      <c r="BE7" s="66"/>
    </row>
    <row r="8" spans="2:57" s="76" customFormat="1" ht="63" customHeight="1" x14ac:dyDescent="0.3">
      <c r="B8" s="64"/>
      <c r="C8" s="77" t="s">
        <v>10</v>
      </c>
      <c r="D8" s="78" t="s">
        <v>11</v>
      </c>
      <c r="E8" s="79" t="s">
        <v>238</v>
      </c>
      <c r="F8" s="78" t="s">
        <v>37</v>
      </c>
      <c r="G8" s="80" t="s">
        <v>134</v>
      </c>
      <c r="H8" s="613" t="s">
        <v>131</v>
      </c>
      <c r="I8" s="77" t="str">
        <f>'1. Identificação Ben. Oper.'!D50</f>
        <v>Energia Elétrica</v>
      </c>
      <c r="J8" s="1067"/>
      <c r="K8" s="1068"/>
      <c r="L8" s="1068"/>
      <c r="M8" s="1069"/>
      <c r="N8" s="82" t="s">
        <v>85</v>
      </c>
      <c r="O8" s="82" t="s">
        <v>4</v>
      </c>
      <c r="P8" s="82" t="s">
        <v>5</v>
      </c>
      <c r="Q8" s="81" t="str">
        <f t="shared" ref="Q8:V8" si="0">+I8</f>
        <v>Energia Elétrica</v>
      </c>
      <c r="R8" s="1070"/>
      <c r="S8" s="1071"/>
      <c r="T8" s="1071"/>
      <c r="U8" s="1072"/>
      <c r="V8" s="82" t="str">
        <f t="shared" si="0"/>
        <v>Total</v>
      </c>
      <c r="W8" s="82" t="s">
        <v>5</v>
      </c>
      <c r="X8" s="82" t="s">
        <v>6</v>
      </c>
      <c r="Y8" s="82" t="s">
        <v>181</v>
      </c>
      <c r="Z8" s="82" t="s">
        <v>4</v>
      </c>
      <c r="AA8" s="82" t="s">
        <v>7</v>
      </c>
      <c r="AB8" s="80" t="s">
        <v>5</v>
      </c>
      <c r="AC8" s="80" t="s">
        <v>116</v>
      </c>
      <c r="AD8" s="84" t="s">
        <v>186</v>
      </c>
      <c r="AE8" s="747" t="s">
        <v>120</v>
      </c>
      <c r="AF8" s="86" t="s">
        <v>116</v>
      </c>
      <c r="AG8" s="87" t="s">
        <v>116</v>
      </c>
      <c r="AH8" s="82" t="s">
        <v>195</v>
      </c>
      <c r="AI8" s="82" t="s">
        <v>116</v>
      </c>
      <c r="AJ8" s="747" t="s">
        <v>131</v>
      </c>
      <c r="AK8" s="12"/>
      <c r="AM8" s="66"/>
      <c r="AN8" s="66"/>
      <c r="AO8" s="66"/>
      <c r="AP8" s="66"/>
      <c r="AQ8" s="66"/>
      <c r="AR8" s="66"/>
      <c r="AS8" s="143"/>
      <c r="AT8" s="143"/>
      <c r="AU8" s="143"/>
      <c r="AV8" s="143"/>
      <c r="AX8" s="66"/>
      <c r="AY8" s="66"/>
      <c r="AZ8" s="37"/>
      <c r="BA8" s="66"/>
      <c r="BB8" s="66"/>
      <c r="BC8" s="66"/>
      <c r="BD8" s="66"/>
      <c r="BE8" s="66"/>
    </row>
    <row r="9" spans="2:57" s="76" customFormat="1" ht="36.75" customHeight="1" x14ac:dyDescent="0.3">
      <c r="B9" s="64"/>
      <c r="C9" s="989" t="s">
        <v>48</v>
      </c>
      <c r="D9" s="990"/>
      <c r="E9" s="88"/>
      <c r="F9" s="88"/>
      <c r="G9" s="88"/>
      <c r="H9" s="88"/>
      <c r="I9" s="89"/>
      <c r="J9" s="88"/>
      <c r="K9" s="88"/>
      <c r="L9" s="88"/>
      <c r="M9" s="88"/>
      <c r="N9" s="88"/>
      <c r="O9" s="88"/>
      <c r="P9" s="90"/>
      <c r="Q9" s="89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90"/>
      <c r="AF9" s="89"/>
      <c r="AG9" s="88"/>
      <c r="AH9" s="88"/>
      <c r="AI9" s="88"/>
      <c r="AJ9" s="90"/>
      <c r="AK9" s="12"/>
      <c r="AM9" s="66"/>
      <c r="AN9" s="66"/>
      <c r="AO9" s="66"/>
      <c r="AP9" s="66"/>
      <c r="AQ9" s="66"/>
      <c r="AR9" s="66"/>
      <c r="AS9" s="143"/>
      <c r="AT9" s="143"/>
      <c r="AU9" s="143"/>
      <c r="AV9" s="143"/>
      <c r="AX9" s="66"/>
      <c r="AY9" s="39"/>
      <c r="AZ9" s="37"/>
      <c r="BA9" s="66"/>
      <c r="BB9" s="66"/>
      <c r="BC9" s="66"/>
      <c r="BD9" s="66"/>
      <c r="BE9" s="66"/>
    </row>
    <row r="10" spans="2:57" ht="30" customHeight="1" x14ac:dyDescent="0.3">
      <c r="B10" s="15"/>
      <c r="C10" s="91">
        <v>1</v>
      </c>
      <c r="D10" s="634"/>
      <c r="E10" s="622"/>
      <c r="F10" s="648"/>
      <c r="G10" s="657"/>
      <c r="H10" s="92" t="str">
        <f>IF(F10="","",VLOOKUP(F10,'15. Valores-Padrão'!$C$42:$F$44,4,FALSE))</f>
        <v/>
      </c>
      <c r="I10" s="635"/>
      <c r="J10" s="1073"/>
      <c r="K10" s="1074"/>
      <c r="L10" s="1074"/>
      <c r="M10" s="1075"/>
      <c r="N10" s="93">
        <f>I10</f>
        <v>0</v>
      </c>
      <c r="O10" s="94">
        <f>+VLOOKUP($I$8,'16. Fatores de conversão'!$A$6:$I$14,6,FALSE)*I10</f>
        <v>0</v>
      </c>
      <c r="P10" s="603">
        <f>IF(F10="",0,'1. Identificação Ben. Oper.'!$D$56*I10)</f>
        <v>0</v>
      </c>
      <c r="Q10" s="636"/>
      <c r="R10" s="1052"/>
      <c r="S10" s="1053"/>
      <c r="T10" s="1053"/>
      <c r="U10" s="1054"/>
      <c r="V10" s="93">
        <f>Q10</f>
        <v>0</v>
      </c>
      <c r="W10" s="603">
        <f>+SUMPRODUCT('1. Identificação Ben. Oper.'!$D$56:$H$56,Q10:U10)</f>
        <v>0</v>
      </c>
      <c r="X10" s="604">
        <f>IF(N10=0,0,V10/N10)</f>
        <v>0</v>
      </c>
      <c r="Y10" s="94" t="str">
        <f>IF(Q10="","",VLOOKUP($Q$8,'16. Fatores de conversão'!$A$6:$I$14,3,FALSE)*Q10)</f>
        <v/>
      </c>
      <c r="Z10" s="94">
        <f>+VLOOKUP($Q$8,'16. Fatores de conversão'!$A$6:$I$14,6,FALSE)*Q10</f>
        <v>0</v>
      </c>
      <c r="AA10" s="94">
        <f>(VLOOKUP($Q$8,'16. Fatores de conversão'!$A$6:$I$14,9,FALSE)*Q10)/1000</f>
        <v>0</v>
      </c>
      <c r="AB10" s="630"/>
      <c r="AC10" s="630"/>
      <c r="AD10" s="638"/>
      <c r="AE10" s="796">
        <f>IF(OR(AC10="",AC10=0),0,IF(OR(AD10="",AD10=0),0,H10+1))</f>
        <v>0</v>
      </c>
      <c r="AF10" s="640"/>
      <c r="AG10" s="630"/>
      <c r="AH10" s="603" t="str">
        <f>IF(F10="","",VLOOKUP(F10,'15. Valores-Padrão'!$C$42:$E$44,3,FALSE)*G10)</f>
        <v/>
      </c>
      <c r="AI10" s="603">
        <f>IF(AF10=0,0,IF(AF10&lt;(AH10),AF10+AG10,((AH10)+((AG10/AF10)*AH10))))</f>
        <v>0</v>
      </c>
      <c r="AJ10" s="788">
        <f>IF(W10=0,0,(AF10+AG10)/W10)</f>
        <v>0</v>
      </c>
      <c r="AK10" s="12"/>
      <c r="AM10" s="11"/>
      <c r="AN10" s="11"/>
      <c r="AO10" s="11"/>
      <c r="AP10" s="11"/>
      <c r="AQ10" s="11"/>
      <c r="AR10" s="11"/>
      <c r="AS10" s="143"/>
      <c r="AT10" s="143"/>
      <c r="AU10" s="143"/>
      <c r="AV10" s="143"/>
      <c r="AX10" s="11"/>
      <c r="AY10" s="11"/>
      <c r="AZ10" s="37"/>
      <c r="BA10" s="66"/>
      <c r="BB10" s="66"/>
      <c r="BC10" s="66"/>
      <c r="BD10" s="11"/>
      <c r="BE10" s="11"/>
    </row>
    <row r="11" spans="2:57" ht="30" customHeight="1" x14ac:dyDescent="0.3">
      <c r="B11" s="15"/>
      <c r="C11" s="91">
        <v>2</v>
      </c>
      <c r="D11" s="620"/>
      <c r="E11" s="622"/>
      <c r="F11" s="648"/>
      <c r="G11" s="657"/>
      <c r="H11" s="92" t="str">
        <f>IF(F11="","",VLOOKUP(F11,'15. Valores-Padrão'!$C$42:$F$44,4,FALSE))</f>
        <v/>
      </c>
      <c r="I11" s="698"/>
      <c r="J11" s="1076"/>
      <c r="K11" s="1077"/>
      <c r="L11" s="1077"/>
      <c r="M11" s="1078"/>
      <c r="N11" s="93">
        <f t="shared" ref="N11:N14" si="1">I11</f>
        <v>0</v>
      </c>
      <c r="O11" s="94">
        <f>+VLOOKUP($I$8,'16. Fatores de conversão'!$A$6:$I$14,6,FALSE)*I11</f>
        <v>0</v>
      </c>
      <c r="P11" s="603">
        <f>IF(F11="",0,'1. Identificação Ben. Oper.'!$D$56*I11)</f>
        <v>0</v>
      </c>
      <c r="Q11" s="636"/>
      <c r="R11" s="1055"/>
      <c r="S11" s="1056"/>
      <c r="T11" s="1056"/>
      <c r="U11" s="1057"/>
      <c r="V11" s="93">
        <f>Q11</f>
        <v>0</v>
      </c>
      <c r="W11" s="603">
        <f>+SUMPRODUCT('1. Identificação Ben. Oper.'!$D$56:$H$56,Q11:U11)</f>
        <v>0</v>
      </c>
      <c r="X11" s="604">
        <f>IF(N11=0,0,V11/N11)</f>
        <v>0</v>
      </c>
      <c r="Y11" s="94" t="str">
        <f>IF(Q11="","",VLOOKUP($Q$8,'16. Fatores de conversão'!$A$6:$I$14,3,FALSE)*Q11)</f>
        <v/>
      </c>
      <c r="Z11" s="94">
        <f>+VLOOKUP($Q$8,'16. Fatores de conversão'!$A$6:$I$14,6,FALSE)*Q11</f>
        <v>0</v>
      </c>
      <c r="AA11" s="94">
        <f>(VLOOKUP($Q$8,'16. Fatores de conversão'!$A$6:$I$14,9,FALSE)*Q11)/1000</f>
        <v>0</v>
      </c>
      <c r="AB11" s="630"/>
      <c r="AC11" s="630"/>
      <c r="AD11" s="638"/>
      <c r="AE11" s="796">
        <f>IF(OR(AC11="",AC11=0),0,IF(OR(AD11="",AD11=0),0,H11+1))</f>
        <v>0</v>
      </c>
      <c r="AF11" s="640"/>
      <c r="AG11" s="630"/>
      <c r="AH11" s="603" t="str">
        <f>IF(F11="","",VLOOKUP(F11,'15. Valores-Padrão'!$C$42:$E$44,3,FALSE)*G11)</f>
        <v/>
      </c>
      <c r="AI11" s="603">
        <f t="shared" ref="AI11:AI20" si="2">IF(AF11=0,0,IF(AF11&lt;(AH11),AF11+AG11,((AH11)+((AG11/AF11)*AH11))))</f>
        <v>0</v>
      </c>
      <c r="AJ11" s="788">
        <f t="shared" ref="AJ11:AJ21" si="3">IF(W11=0,0,(AF11+AG11)/W11)</f>
        <v>0</v>
      </c>
      <c r="AK11" s="12"/>
      <c r="AM11" s="11"/>
      <c r="AN11" s="11"/>
      <c r="AO11" s="11"/>
      <c r="AP11" s="11"/>
      <c r="AQ11" s="11"/>
      <c r="AR11" s="11"/>
      <c r="AS11" s="143"/>
      <c r="AT11" s="143"/>
      <c r="AU11" s="143"/>
      <c r="AV11" s="143"/>
      <c r="AX11" s="11"/>
      <c r="AY11" s="11"/>
      <c r="AZ11" s="37"/>
      <c r="BA11" s="66"/>
      <c r="BB11" s="66"/>
      <c r="BC11" s="66"/>
      <c r="BD11" s="11"/>
      <c r="BE11" s="11"/>
    </row>
    <row r="12" spans="2:57" ht="30" customHeight="1" x14ac:dyDescent="0.3">
      <c r="B12" s="15"/>
      <c r="C12" s="91">
        <v>3</v>
      </c>
      <c r="D12" s="620"/>
      <c r="E12" s="622"/>
      <c r="F12" s="648"/>
      <c r="G12" s="657"/>
      <c r="H12" s="92" t="str">
        <f>IF(F12="","",VLOOKUP(F12,'15. Valores-Padrão'!$C$42:$F$44,4,FALSE))</f>
        <v/>
      </c>
      <c r="I12" s="698"/>
      <c r="J12" s="1076"/>
      <c r="K12" s="1077"/>
      <c r="L12" s="1077"/>
      <c r="M12" s="1078"/>
      <c r="N12" s="93">
        <f t="shared" si="1"/>
        <v>0</v>
      </c>
      <c r="O12" s="94">
        <f>+VLOOKUP($I$8,'16. Fatores de conversão'!$A$6:$I$14,6,FALSE)*I12</f>
        <v>0</v>
      </c>
      <c r="P12" s="603">
        <f>IF(F12="",0,'1. Identificação Ben. Oper.'!$D$56*I12)</f>
        <v>0</v>
      </c>
      <c r="Q12" s="636"/>
      <c r="R12" s="1055"/>
      <c r="S12" s="1056"/>
      <c r="T12" s="1056"/>
      <c r="U12" s="1057"/>
      <c r="V12" s="93">
        <f t="shared" ref="V12:V20" si="4">Q12</f>
        <v>0</v>
      </c>
      <c r="W12" s="603">
        <f>+SUMPRODUCT('1. Identificação Ben. Oper.'!$D$56:$H$56,Q12:U12)</f>
        <v>0</v>
      </c>
      <c r="X12" s="604">
        <f>IF(N12=0,0,V12/N12)</f>
        <v>0</v>
      </c>
      <c r="Y12" s="94" t="str">
        <f>IF(Q12="","",VLOOKUP($Q$8,'16. Fatores de conversão'!$A$6:$I$14,3,FALSE)*Q12)</f>
        <v/>
      </c>
      <c r="Z12" s="94">
        <f>+VLOOKUP($Q$8,'16. Fatores de conversão'!$A$6:$I$14,6,FALSE)*Q12</f>
        <v>0</v>
      </c>
      <c r="AA12" s="94">
        <f>(VLOOKUP($Q$8,'16. Fatores de conversão'!$A$6:$I$14,9,FALSE)*Q12)/1000</f>
        <v>0</v>
      </c>
      <c r="AB12" s="630"/>
      <c r="AC12" s="630"/>
      <c r="AD12" s="638"/>
      <c r="AE12" s="796">
        <f>IF(OR(AC12="",AC12=0),0,IF(OR(AD12="",AD12=0),0,H12+1))</f>
        <v>0</v>
      </c>
      <c r="AF12" s="640"/>
      <c r="AG12" s="630"/>
      <c r="AH12" s="603" t="str">
        <f>IF(F12="","",VLOOKUP(F12,'15. Valores-Padrão'!$C$42:$E$44,3,FALSE)*G12)</f>
        <v/>
      </c>
      <c r="AI12" s="603">
        <f t="shared" si="2"/>
        <v>0</v>
      </c>
      <c r="AJ12" s="788">
        <f t="shared" si="3"/>
        <v>0</v>
      </c>
      <c r="AK12" s="12"/>
      <c r="AM12" s="11"/>
      <c r="AN12" s="11"/>
      <c r="AO12" s="11"/>
      <c r="AP12" s="11"/>
      <c r="AQ12" s="11"/>
      <c r="AR12" s="11"/>
      <c r="AS12" s="143"/>
      <c r="AT12" s="143"/>
      <c r="AU12" s="143"/>
      <c r="AV12" s="143"/>
      <c r="AX12" s="11"/>
      <c r="AY12" s="11"/>
      <c r="AZ12" s="37"/>
      <c r="BA12" s="66"/>
      <c r="BB12" s="66"/>
      <c r="BC12" s="66"/>
      <c r="BD12" s="11"/>
      <c r="BE12" s="11"/>
    </row>
    <row r="13" spans="2:57" ht="30" customHeight="1" x14ac:dyDescent="0.3">
      <c r="B13" s="15"/>
      <c r="C13" s="91">
        <v>4</v>
      </c>
      <c r="D13" s="620"/>
      <c r="E13" s="622"/>
      <c r="F13" s="648"/>
      <c r="G13" s="657"/>
      <c r="H13" s="92" t="str">
        <f>IF(F13="","",VLOOKUP(F13,'15. Valores-Padrão'!$C$42:$F$44,4,FALSE))</f>
        <v/>
      </c>
      <c r="I13" s="698"/>
      <c r="J13" s="1076"/>
      <c r="K13" s="1077"/>
      <c r="L13" s="1077"/>
      <c r="M13" s="1078"/>
      <c r="N13" s="93">
        <f t="shared" si="1"/>
        <v>0</v>
      </c>
      <c r="O13" s="94">
        <f>+VLOOKUP($I$8,'16. Fatores de conversão'!$A$6:$I$14,6,FALSE)*I13</f>
        <v>0</v>
      </c>
      <c r="P13" s="603">
        <f>IF(F13="",0,'1. Identificação Ben. Oper.'!$D$56*I13)</f>
        <v>0</v>
      </c>
      <c r="Q13" s="636"/>
      <c r="R13" s="1055"/>
      <c r="S13" s="1056"/>
      <c r="T13" s="1056"/>
      <c r="U13" s="1057"/>
      <c r="V13" s="93">
        <f t="shared" si="4"/>
        <v>0</v>
      </c>
      <c r="W13" s="603">
        <f>+SUMPRODUCT('1. Identificação Ben. Oper.'!$D$56:$H$56,Q13:U13)</f>
        <v>0</v>
      </c>
      <c r="X13" s="604">
        <f>IF(N13=0,0,V13/N13)</f>
        <v>0</v>
      </c>
      <c r="Y13" s="94" t="str">
        <f>IF(Q13="","",VLOOKUP($Q$8,'16. Fatores de conversão'!$A$6:$I$14,3,FALSE)*Q13)</f>
        <v/>
      </c>
      <c r="Z13" s="94">
        <f>+VLOOKUP($Q$8,'16. Fatores de conversão'!$A$6:$I$14,6,FALSE)*Q13</f>
        <v>0</v>
      </c>
      <c r="AA13" s="94">
        <f>(VLOOKUP($Q$8,'16. Fatores de conversão'!$A$6:$I$14,9,FALSE)*Q13)/1000</f>
        <v>0</v>
      </c>
      <c r="AB13" s="630"/>
      <c r="AC13" s="630"/>
      <c r="AD13" s="638"/>
      <c r="AE13" s="796">
        <f>IF(OR(AC13="",AC13=0),0,IF(OR(AD13="",AD13=0),0,H13+1))</f>
        <v>0</v>
      </c>
      <c r="AF13" s="640"/>
      <c r="AG13" s="630"/>
      <c r="AH13" s="603" t="str">
        <f>IF(F13="","",VLOOKUP(F13,'15. Valores-Padrão'!$C$42:$E$44,3,FALSE)*G13)</f>
        <v/>
      </c>
      <c r="AI13" s="603">
        <f t="shared" si="2"/>
        <v>0</v>
      </c>
      <c r="AJ13" s="788">
        <f t="shared" si="3"/>
        <v>0</v>
      </c>
      <c r="AK13" s="12"/>
      <c r="AM13" s="11"/>
      <c r="AN13" s="11"/>
      <c r="AO13" s="11"/>
      <c r="AP13" s="11"/>
      <c r="AQ13" s="11"/>
      <c r="AR13" s="11"/>
      <c r="AS13" s="143"/>
      <c r="AT13" s="143"/>
      <c r="AU13" s="143"/>
      <c r="AV13" s="143"/>
      <c r="AX13" s="11"/>
      <c r="AY13" s="11"/>
      <c r="AZ13" s="95"/>
      <c r="BA13" s="66"/>
      <c r="BB13" s="66"/>
      <c r="BC13" s="66"/>
      <c r="BD13" s="11"/>
      <c r="BE13" s="11"/>
    </row>
    <row r="14" spans="2:57" ht="30" customHeight="1" x14ac:dyDescent="0.3">
      <c r="B14" s="15"/>
      <c r="C14" s="91">
        <v>5</v>
      </c>
      <c r="D14" s="620"/>
      <c r="E14" s="622"/>
      <c r="F14" s="648"/>
      <c r="G14" s="657"/>
      <c r="H14" s="92" t="str">
        <f>IF(F14="","",VLOOKUP(F14,'15. Valores-Padrão'!$C$42:$F$44,4,FALSE))</f>
        <v/>
      </c>
      <c r="I14" s="698"/>
      <c r="J14" s="1079"/>
      <c r="K14" s="1080"/>
      <c r="L14" s="1080"/>
      <c r="M14" s="1081"/>
      <c r="N14" s="93">
        <f t="shared" si="1"/>
        <v>0</v>
      </c>
      <c r="O14" s="94">
        <f>+VLOOKUP($I$8,'16. Fatores de conversão'!$A$6:$I$14,6,FALSE)*I14</f>
        <v>0</v>
      </c>
      <c r="P14" s="603">
        <f>IF(F14="",0,'1. Identificação Ben. Oper.'!$D$56*I14)</f>
        <v>0</v>
      </c>
      <c r="Q14" s="636"/>
      <c r="R14" s="1058"/>
      <c r="S14" s="1059"/>
      <c r="T14" s="1059"/>
      <c r="U14" s="1060"/>
      <c r="V14" s="93">
        <f t="shared" si="4"/>
        <v>0</v>
      </c>
      <c r="W14" s="603">
        <f>+SUMPRODUCT('1. Identificação Ben. Oper.'!$D$56:$H$56,Q14:U14)</f>
        <v>0</v>
      </c>
      <c r="X14" s="604">
        <f>IF(N14=0,0,V14/N14)</f>
        <v>0</v>
      </c>
      <c r="Y14" s="94" t="str">
        <f>IF(Q14="","",VLOOKUP($Q$8,'16. Fatores de conversão'!$A$6:$I$14,3,FALSE)*Q14)</f>
        <v/>
      </c>
      <c r="Z14" s="94">
        <f>+VLOOKUP($Q$8,'16. Fatores de conversão'!$A$6:$I$14,6,FALSE)*Q14</f>
        <v>0</v>
      </c>
      <c r="AA14" s="94">
        <f>(VLOOKUP($Q$8,'16. Fatores de conversão'!$A$6:$I$14,9,FALSE)*Q14)/1000</f>
        <v>0</v>
      </c>
      <c r="AB14" s="630"/>
      <c r="AC14" s="630"/>
      <c r="AD14" s="638"/>
      <c r="AE14" s="796">
        <f>IF(OR(AC14="",AC14=0),0,IF(OR(AD14="",AD14=0),0,H14+1))</f>
        <v>0</v>
      </c>
      <c r="AF14" s="640"/>
      <c r="AG14" s="630"/>
      <c r="AH14" s="603" t="str">
        <f>IF(F14="","",VLOOKUP(F14,'15. Valores-Padrão'!$C$42:$E$44,3,FALSE)*G14)</f>
        <v/>
      </c>
      <c r="AI14" s="603">
        <f t="shared" si="2"/>
        <v>0</v>
      </c>
      <c r="AJ14" s="788">
        <f t="shared" si="3"/>
        <v>0</v>
      </c>
      <c r="AK14" s="12"/>
      <c r="AM14" s="11"/>
      <c r="AN14" s="11"/>
      <c r="AO14" s="11"/>
      <c r="AP14" s="11"/>
      <c r="AQ14" s="11"/>
      <c r="AR14" s="11"/>
      <c r="AS14" s="143"/>
      <c r="AT14" s="143"/>
      <c r="AU14" s="143"/>
      <c r="AV14" s="143"/>
      <c r="AX14" s="11"/>
      <c r="AY14" s="11"/>
      <c r="AZ14" s="95"/>
      <c r="BA14" s="66"/>
      <c r="BB14" s="66"/>
      <c r="BC14" s="66"/>
      <c r="BD14" s="11"/>
      <c r="BE14" s="11"/>
    </row>
    <row r="15" spans="2:57" ht="30" customHeight="1" x14ac:dyDescent="0.3">
      <c r="B15" s="15"/>
      <c r="C15" s="989" t="s">
        <v>49</v>
      </c>
      <c r="D15" s="990"/>
      <c r="E15" s="88"/>
      <c r="F15" s="88"/>
      <c r="G15" s="88"/>
      <c r="H15" s="88"/>
      <c r="I15" s="89"/>
      <c r="J15" s="88"/>
      <c r="K15" s="88"/>
      <c r="L15" s="88"/>
      <c r="M15" s="88"/>
      <c r="N15" s="88"/>
      <c r="O15" s="88"/>
      <c r="P15" s="90"/>
      <c r="Q15" s="89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90"/>
      <c r="AF15" s="89"/>
      <c r="AG15" s="88"/>
      <c r="AH15" s="96"/>
      <c r="AI15" s="88"/>
      <c r="AJ15" s="90"/>
      <c r="AK15" s="12"/>
      <c r="AM15" s="11"/>
      <c r="AN15" s="11"/>
      <c r="AO15" s="11"/>
      <c r="AP15" s="11"/>
      <c r="AQ15" s="11"/>
      <c r="AR15" s="11"/>
      <c r="AS15" s="143"/>
      <c r="AT15" s="143"/>
      <c r="AU15" s="143"/>
      <c r="AV15" s="143"/>
      <c r="AX15" s="11"/>
      <c r="AY15" s="11"/>
      <c r="AZ15" s="95"/>
      <c r="BA15" s="66"/>
      <c r="BB15" s="66"/>
      <c r="BC15" s="66"/>
      <c r="BD15" s="11"/>
      <c r="BE15" s="11"/>
    </row>
    <row r="16" spans="2:57" ht="30" customHeight="1" x14ac:dyDescent="0.3">
      <c r="B16" s="15"/>
      <c r="C16" s="91">
        <v>6</v>
      </c>
      <c r="D16" s="620"/>
      <c r="E16" s="622"/>
      <c r="F16" s="627"/>
      <c r="G16" s="627"/>
      <c r="H16" s="650"/>
      <c r="I16" s="699"/>
      <c r="J16" s="1082" t="s">
        <v>318</v>
      </c>
      <c r="K16" s="1083"/>
      <c r="L16" s="1083"/>
      <c r="M16" s="1084"/>
      <c r="N16" s="440">
        <f>I16</f>
        <v>0</v>
      </c>
      <c r="O16" s="441">
        <f>+VLOOKUP($I$8,'16. Fatores de conversão'!$A$6:$I$14,6,FALSE)*I16</f>
        <v>0</v>
      </c>
      <c r="P16" s="798">
        <f>IF(F16="",0,'1. Identificação Ben. Oper.'!$D$56*I16)</f>
        <v>0</v>
      </c>
      <c r="Q16" s="636"/>
      <c r="R16" s="1052"/>
      <c r="S16" s="1053"/>
      <c r="T16" s="1053"/>
      <c r="U16" s="1054"/>
      <c r="V16" s="93">
        <f t="shared" si="4"/>
        <v>0</v>
      </c>
      <c r="W16" s="603">
        <f>+SUMPRODUCT('1. Identificação Ben. Oper.'!$D$56:$H$56,Q16:U16)</f>
        <v>0</v>
      </c>
      <c r="X16" s="604">
        <f t="shared" ref="X16:X21" si="5">IF(N16=0,0,V16/N16)</f>
        <v>0</v>
      </c>
      <c r="Y16" s="94" t="str">
        <f>IF(Q16="","",VLOOKUP($Q$8,'16. Fatores de conversão'!$A$6:$I$14,3,FALSE)*Q16)</f>
        <v/>
      </c>
      <c r="Z16" s="94">
        <f>+VLOOKUP($Q$8,'16. Fatores de conversão'!$A$6:$I$14,6,FALSE)*Q16</f>
        <v>0</v>
      </c>
      <c r="AA16" s="94">
        <f>(VLOOKUP($Q$8,'16. Fatores de conversão'!$A$6:$I$14,9,FALSE)*Q16)/1000</f>
        <v>0</v>
      </c>
      <c r="AB16" s="630"/>
      <c r="AC16" s="630"/>
      <c r="AD16" s="638"/>
      <c r="AE16" s="796">
        <f>IF(OR(AC16="",AC16=0),0,IF(OR(AD16="",AD16=0),0,H16+1))</f>
        <v>0</v>
      </c>
      <c r="AF16" s="640"/>
      <c r="AG16" s="641"/>
      <c r="AH16" s="830" t="s">
        <v>196</v>
      </c>
      <c r="AI16" s="603">
        <f>IF(AF16=0,0,IF(AF16&lt;(AH16),AF16+AG16,((AH16)+((AG16/AF16)*AH16))))</f>
        <v>0</v>
      </c>
      <c r="AJ16" s="788">
        <f t="shared" si="3"/>
        <v>0</v>
      </c>
      <c r="AK16" s="12"/>
      <c r="AM16" s="11"/>
      <c r="AN16" s="11"/>
      <c r="AO16" s="11"/>
      <c r="AP16" s="11"/>
      <c r="AQ16" s="11"/>
      <c r="AR16" s="11"/>
      <c r="AS16" s="143"/>
      <c r="AT16" s="143"/>
      <c r="AU16" s="143"/>
      <c r="AV16" s="143"/>
      <c r="AX16" s="11"/>
      <c r="AY16" s="11"/>
      <c r="AZ16" s="95"/>
      <c r="BA16" s="66"/>
      <c r="BB16" s="66"/>
      <c r="BC16" s="66"/>
      <c r="BD16" s="11"/>
      <c r="BE16" s="11"/>
    </row>
    <row r="17" spans="2:57" ht="30" customHeight="1" x14ac:dyDescent="0.3">
      <c r="B17" s="15"/>
      <c r="C17" s="91">
        <v>7</v>
      </c>
      <c r="D17" s="620"/>
      <c r="E17" s="622"/>
      <c r="F17" s="627"/>
      <c r="G17" s="627"/>
      <c r="H17" s="650"/>
      <c r="I17" s="699"/>
      <c r="J17" s="1085"/>
      <c r="K17" s="1086"/>
      <c r="L17" s="1086"/>
      <c r="M17" s="1087"/>
      <c r="N17" s="440">
        <f t="shared" ref="N17:N20" si="6">I17</f>
        <v>0</v>
      </c>
      <c r="O17" s="441">
        <f>+VLOOKUP($I$8,'16. Fatores de conversão'!$A$6:$I$14,6,FALSE)*I17</f>
        <v>0</v>
      </c>
      <c r="P17" s="798">
        <f>IF(F17="",0,'1. Identificação Ben. Oper.'!$D$56*I17)</f>
        <v>0</v>
      </c>
      <c r="Q17" s="636"/>
      <c r="R17" s="1055"/>
      <c r="S17" s="1056"/>
      <c r="T17" s="1056"/>
      <c r="U17" s="1057"/>
      <c r="V17" s="93">
        <f t="shared" si="4"/>
        <v>0</v>
      </c>
      <c r="W17" s="603">
        <f>+SUMPRODUCT('1. Identificação Ben. Oper.'!$D$56:$H$56,Q17:U17)</f>
        <v>0</v>
      </c>
      <c r="X17" s="604">
        <f t="shared" si="5"/>
        <v>0</v>
      </c>
      <c r="Y17" s="94" t="str">
        <f>IF(Q17="","",VLOOKUP($Q$8,'16. Fatores de conversão'!$A$6:$I$14,3,FALSE)*Q17)</f>
        <v/>
      </c>
      <c r="Z17" s="94">
        <f>+VLOOKUP($Q$8,'16. Fatores de conversão'!$A$6:$I$14,6,FALSE)*Q17</f>
        <v>0</v>
      </c>
      <c r="AA17" s="94">
        <f>(VLOOKUP($Q$8,'16. Fatores de conversão'!$A$6:$I$14,9,FALSE)*Q17)/1000</f>
        <v>0</v>
      </c>
      <c r="AB17" s="630"/>
      <c r="AC17" s="630"/>
      <c r="AD17" s="638"/>
      <c r="AE17" s="796">
        <f>IF(OR(AC17="",AC17=0),0,IF(OR(AD17="",AD17=0),0,H17+1))</f>
        <v>0</v>
      </c>
      <c r="AF17" s="640"/>
      <c r="AG17" s="641"/>
      <c r="AH17" s="830" t="s">
        <v>196</v>
      </c>
      <c r="AI17" s="603">
        <f t="shared" si="2"/>
        <v>0</v>
      </c>
      <c r="AJ17" s="788">
        <f t="shared" si="3"/>
        <v>0</v>
      </c>
      <c r="AK17" s="12"/>
      <c r="AM17" s="11"/>
      <c r="AN17" s="11"/>
      <c r="AO17" s="11"/>
      <c r="AP17" s="11"/>
      <c r="AQ17" s="11"/>
      <c r="AR17" s="11"/>
      <c r="AS17" s="143"/>
      <c r="AT17" s="143"/>
      <c r="AU17" s="143"/>
      <c r="AV17" s="143"/>
      <c r="AX17" s="11"/>
      <c r="AY17" s="11"/>
      <c r="AZ17" s="95"/>
      <c r="BA17" s="66"/>
      <c r="BB17" s="66"/>
      <c r="BC17" s="66"/>
      <c r="BD17" s="11"/>
      <c r="BE17" s="11"/>
    </row>
    <row r="18" spans="2:57" ht="30" customHeight="1" x14ac:dyDescent="0.3">
      <c r="B18" s="15"/>
      <c r="C18" s="91">
        <v>8</v>
      </c>
      <c r="D18" s="620"/>
      <c r="E18" s="622"/>
      <c r="F18" s="627"/>
      <c r="G18" s="627"/>
      <c r="H18" s="650"/>
      <c r="I18" s="699"/>
      <c r="J18" s="1085"/>
      <c r="K18" s="1086"/>
      <c r="L18" s="1086"/>
      <c r="M18" s="1087"/>
      <c r="N18" s="440">
        <f t="shared" si="6"/>
        <v>0</v>
      </c>
      <c r="O18" s="441">
        <f>+VLOOKUP($I$8,'16. Fatores de conversão'!$A$6:$I$14,6,FALSE)*I18</f>
        <v>0</v>
      </c>
      <c r="P18" s="798">
        <f>IF(F18="",0,'1. Identificação Ben. Oper.'!$D$56*I18)</f>
        <v>0</v>
      </c>
      <c r="Q18" s="636"/>
      <c r="R18" s="1055"/>
      <c r="S18" s="1056"/>
      <c r="T18" s="1056"/>
      <c r="U18" s="1057"/>
      <c r="V18" s="93">
        <f t="shared" si="4"/>
        <v>0</v>
      </c>
      <c r="W18" s="603">
        <f>+SUMPRODUCT('1. Identificação Ben. Oper.'!$D$56:$H$56,Q18:U18)</f>
        <v>0</v>
      </c>
      <c r="X18" s="604">
        <f t="shared" si="5"/>
        <v>0</v>
      </c>
      <c r="Y18" s="94" t="str">
        <f>IF(Q18="","",VLOOKUP($Q$8,'16. Fatores de conversão'!$A$6:$I$14,3,FALSE)*Q18)</f>
        <v/>
      </c>
      <c r="Z18" s="94">
        <f>+VLOOKUP($Q$8,'16. Fatores de conversão'!$A$6:$I$14,6,FALSE)*Q18</f>
        <v>0</v>
      </c>
      <c r="AA18" s="94">
        <f>(VLOOKUP($Q$8,'16. Fatores de conversão'!$A$6:$I$14,9,FALSE)*Q18)/1000</f>
        <v>0</v>
      </c>
      <c r="AB18" s="630"/>
      <c r="AC18" s="630"/>
      <c r="AD18" s="638"/>
      <c r="AE18" s="796">
        <f>IF(OR(AC18="",AC18=0),0,IF(OR(AD18="",AD18=0),0,H18+1))</f>
        <v>0</v>
      </c>
      <c r="AF18" s="640"/>
      <c r="AG18" s="641"/>
      <c r="AH18" s="830" t="s">
        <v>196</v>
      </c>
      <c r="AI18" s="603">
        <f t="shared" si="2"/>
        <v>0</v>
      </c>
      <c r="AJ18" s="788">
        <f t="shared" si="3"/>
        <v>0</v>
      </c>
      <c r="AK18" s="12"/>
      <c r="AM18" s="11"/>
      <c r="AN18" s="11"/>
      <c r="AO18" s="11"/>
      <c r="AP18" s="11"/>
      <c r="AQ18" s="11"/>
      <c r="AR18" s="11"/>
      <c r="AS18" s="143"/>
      <c r="AT18" s="143"/>
      <c r="AU18" s="143"/>
      <c r="AV18" s="143"/>
      <c r="AX18" s="11"/>
      <c r="AY18" s="11"/>
      <c r="AZ18" s="95"/>
      <c r="BA18" s="66"/>
      <c r="BB18" s="66"/>
      <c r="BC18" s="66"/>
      <c r="BD18" s="11"/>
      <c r="BE18" s="11"/>
    </row>
    <row r="19" spans="2:57" ht="30" customHeight="1" x14ac:dyDescent="0.3">
      <c r="B19" s="15"/>
      <c r="C19" s="91">
        <v>9</v>
      </c>
      <c r="D19" s="620"/>
      <c r="E19" s="622"/>
      <c r="F19" s="627"/>
      <c r="G19" s="627"/>
      <c r="H19" s="650"/>
      <c r="I19" s="699"/>
      <c r="J19" s="1085"/>
      <c r="K19" s="1086"/>
      <c r="L19" s="1086"/>
      <c r="M19" s="1087"/>
      <c r="N19" s="440">
        <f t="shared" si="6"/>
        <v>0</v>
      </c>
      <c r="O19" s="441">
        <f>+VLOOKUP($I$8,'16. Fatores de conversão'!$A$6:$I$14,6,FALSE)*I19</f>
        <v>0</v>
      </c>
      <c r="P19" s="798">
        <f>IF(F19="",0,'1. Identificação Ben. Oper.'!$D$56*I19)</f>
        <v>0</v>
      </c>
      <c r="Q19" s="636"/>
      <c r="R19" s="1055"/>
      <c r="S19" s="1056"/>
      <c r="T19" s="1056"/>
      <c r="U19" s="1057"/>
      <c r="V19" s="93">
        <f t="shared" si="4"/>
        <v>0</v>
      </c>
      <c r="W19" s="603">
        <f>+SUMPRODUCT('1. Identificação Ben. Oper.'!$D$56:$H$56,Q19:U19)</f>
        <v>0</v>
      </c>
      <c r="X19" s="604">
        <f t="shared" si="5"/>
        <v>0</v>
      </c>
      <c r="Y19" s="94" t="str">
        <f>IF(Q19="","",VLOOKUP($Q$8,'16. Fatores de conversão'!$A$6:$I$14,3,FALSE)*Q19)</f>
        <v/>
      </c>
      <c r="Z19" s="94">
        <f>+VLOOKUP($Q$8,'16. Fatores de conversão'!$A$6:$I$14,6,FALSE)*Q19</f>
        <v>0</v>
      </c>
      <c r="AA19" s="94">
        <f>(VLOOKUP($Q$8,'16. Fatores de conversão'!$A$6:$I$14,9,FALSE)*Q19)/1000</f>
        <v>0</v>
      </c>
      <c r="AB19" s="630"/>
      <c r="AC19" s="630"/>
      <c r="AD19" s="638"/>
      <c r="AE19" s="796">
        <f>IF(OR(AC19="",AC19=0),0,IF(OR(AD19="",AD19=0),0,H19+1))</f>
        <v>0</v>
      </c>
      <c r="AF19" s="640"/>
      <c r="AG19" s="641"/>
      <c r="AH19" s="830" t="s">
        <v>196</v>
      </c>
      <c r="AI19" s="603">
        <f t="shared" si="2"/>
        <v>0</v>
      </c>
      <c r="AJ19" s="788">
        <f t="shared" si="3"/>
        <v>0</v>
      </c>
      <c r="AK19" s="12"/>
      <c r="AM19" s="11"/>
      <c r="AN19" s="11"/>
      <c r="AO19" s="11"/>
      <c r="AP19" s="11"/>
      <c r="AQ19" s="11"/>
      <c r="AR19" s="11"/>
      <c r="AS19" s="143"/>
      <c r="AT19" s="143"/>
      <c r="AU19" s="143"/>
      <c r="AV19" s="143"/>
      <c r="AX19" s="11"/>
      <c r="AY19" s="11"/>
      <c r="AZ19" s="95"/>
      <c r="BA19" s="66"/>
      <c r="BB19" s="66"/>
      <c r="BC19" s="66"/>
      <c r="BD19" s="11"/>
      <c r="BE19" s="11"/>
    </row>
    <row r="20" spans="2:57" ht="30" customHeight="1" thickBot="1" x14ac:dyDescent="0.35">
      <c r="B20" s="15"/>
      <c r="C20" s="97">
        <v>10</v>
      </c>
      <c r="D20" s="662"/>
      <c r="E20" s="651"/>
      <c r="F20" s="647"/>
      <c r="G20" s="647"/>
      <c r="H20" s="653"/>
      <c r="I20" s="700"/>
      <c r="J20" s="1088"/>
      <c r="K20" s="1089"/>
      <c r="L20" s="1089"/>
      <c r="M20" s="1090"/>
      <c r="N20" s="440">
        <f t="shared" si="6"/>
        <v>0</v>
      </c>
      <c r="O20" s="441">
        <f>+VLOOKUP($I$8,'16. Fatores de conversão'!$A$6:$I$14,6,FALSE)*I20</f>
        <v>0</v>
      </c>
      <c r="P20" s="798">
        <f>IF(F20="",0,'1. Identificação Ben. Oper.'!$D$56*I20)</f>
        <v>0</v>
      </c>
      <c r="Q20" s="655"/>
      <c r="R20" s="1061"/>
      <c r="S20" s="1062"/>
      <c r="T20" s="1062"/>
      <c r="U20" s="1063"/>
      <c r="V20" s="93">
        <f t="shared" si="4"/>
        <v>0</v>
      </c>
      <c r="W20" s="603">
        <f>+SUMPRODUCT('1. Identificação Ben. Oper.'!$D$56:$H$56,Q20:U20)</f>
        <v>0</v>
      </c>
      <c r="X20" s="604">
        <f t="shared" si="5"/>
        <v>0</v>
      </c>
      <c r="Y20" s="94" t="str">
        <f>IF(Q20="","",VLOOKUP($Q$8,'16. Fatores de conversão'!$A$6:$I$14,3,FALSE)*Q20)</f>
        <v/>
      </c>
      <c r="Z20" s="94">
        <f>+VLOOKUP($Q$8,'16. Fatores de conversão'!$A$6:$I$14,6,FALSE)*Q20</f>
        <v>0</v>
      </c>
      <c r="AA20" s="94">
        <f>(VLOOKUP($Q$8,'16. Fatores de conversão'!$A$6:$I$14,9,FALSE)*Q20)/1000</f>
        <v>0</v>
      </c>
      <c r="AB20" s="649"/>
      <c r="AC20" s="649"/>
      <c r="AD20" s="638"/>
      <c r="AE20" s="796">
        <f>IF(OR(AC20="",AC20=0),0,IF(OR(AD20="",AD20=0),0,H20+1))</f>
        <v>0</v>
      </c>
      <c r="AF20" s="642"/>
      <c r="AG20" s="643"/>
      <c r="AH20" s="830" t="s">
        <v>196</v>
      </c>
      <c r="AI20" s="789">
        <f t="shared" si="2"/>
        <v>0</v>
      </c>
      <c r="AJ20" s="788">
        <f t="shared" si="3"/>
        <v>0</v>
      </c>
      <c r="AK20" s="12"/>
      <c r="AM20" s="11"/>
      <c r="AN20" s="11"/>
      <c r="AO20" s="11"/>
      <c r="AP20" s="11"/>
      <c r="AQ20" s="11"/>
      <c r="AR20" s="11"/>
      <c r="AS20" s="143"/>
      <c r="AT20" s="143"/>
      <c r="AU20" s="143"/>
      <c r="AV20" s="143"/>
      <c r="AX20" s="11"/>
      <c r="AY20" s="11"/>
      <c r="AZ20" s="95"/>
      <c r="BA20" s="66"/>
      <c r="BB20" s="66"/>
      <c r="BC20" s="66"/>
      <c r="BD20" s="11"/>
      <c r="BE20" s="11"/>
    </row>
    <row r="21" spans="2:57" ht="15.75" thickBot="1" x14ac:dyDescent="0.3">
      <c r="B21" s="15"/>
      <c r="C21" s="21"/>
      <c r="D21" s="11"/>
      <c r="E21" s="11"/>
      <c r="F21" s="11"/>
      <c r="G21" s="11"/>
      <c r="H21" s="11"/>
      <c r="I21" s="778">
        <f>SUM(I10:I20)</f>
        <v>0</v>
      </c>
      <c r="J21" s="1091"/>
      <c r="K21" s="1092"/>
      <c r="L21" s="1092"/>
      <c r="M21" s="1093"/>
      <c r="N21" s="779">
        <f t="shared" ref="N21:P21" si="7">SUM(N10:N20)</f>
        <v>0</v>
      </c>
      <c r="O21" s="780">
        <f t="shared" si="7"/>
        <v>0</v>
      </c>
      <c r="P21" s="781">
        <f t="shared" si="7"/>
        <v>0</v>
      </c>
      <c r="Q21" s="778">
        <f>SUM(Q10:Q20)</f>
        <v>0</v>
      </c>
      <c r="R21" s="779">
        <f t="shared" ref="R21:U21" si="8">SUM(R10:R20)</f>
        <v>0</v>
      </c>
      <c r="S21" s="779">
        <f t="shared" si="8"/>
        <v>0</v>
      </c>
      <c r="T21" s="779">
        <f t="shared" si="8"/>
        <v>0</v>
      </c>
      <c r="U21" s="779">
        <f t="shared" si="8"/>
        <v>0</v>
      </c>
      <c r="V21" s="779">
        <f>SUM(V10:V20)</f>
        <v>0</v>
      </c>
      <c r="W21" s="782">
        <f>SUM(W10:W20)</f>
        <v>0</v>
      </c>
      <c r="X21" s="783">
        <f t="shared" si="5"/>
        <v>0</v>
      </c>
      <c r="Y21" s="784">
        <f t="shared" ref="Y21:AC21" si="9">SUM(Y10:Y20)</f>
        <v>0</v>
      </c>
      <c r="Z21" s="784">
        <f t="shared" si="9"/>
        <v>0</v>
      </c>
      <c r="AA21" s="784">
        <f t="shared" si="9"/>
        <v>0</v>
      </c>
      <c r="AB21" s="782">
        <f t="shared" si="9"/>
        <v>0</v>
      </c>
      <c r="AC21" s="785">
        <f t="shared" si="9"/>
        <v>0</v>
      </c>
      <c r="AD21" s="368"/>
      <c r="AE21" s="365"/>
      <c r="AF21" s="786">
        <f>SUM(AF10:AF20)</f>
        <v>0</v>
      </c>
      <c r="AG21" s="782">
        <f t="shared" ref="AG21:AH21" si="10">SUM(AG10:AG20)</f>
        <v>0</v>
      </c>
      <c r="AH21" s="782">
        <f t="shared" si="10"/>
        <v>0</v>
      </c>
      <c r="AI21" s="782">
        <f>SUM(AI10:AI20)</f>
        <v>0</v>
      </c>
      <c r="AJ21" s="787">
        <f t="shared" si="3"/>
        <v>0</v>
      </c>
      <c r="AK21" s="12"/>
      <c r="AM21" s="11"/>
      <c r="AN21" s="11"/>
      <c r="AO21" s="11"/>
      <c r="AP21" s="11"/>
      <c r="AQ21" s="11"/>
      <c r="AR21" s="11"/>
      <c r="AS21" s="143"/>
      <c r="AT21" s="143"/>
      <c r="AU21" s="143"/>
      <c r="AV21" s="143"/>
      <c r="AX21" s="11"/>
      <c r="AY21" s="36"/>
      <c r="AZ21" s="95"/>
      <c r="BA21" s="66"/>
      <c r="BB21" s="66"/>
      <c r="BC21" s="66"/>
      <c r="BD21" s="11"/>
      <c r="BE21" s="11"/>
    </row>
    <row r="22" spans="2:57" s="1" customFormat="1" ht="30" customHeight="1" thickBot="1" x14ac:dyDescent="0.35">
      <c r="B22" s="9"/>
      <c r="C22" s="972" t="s">
        <v>209</v>
      </c>
      <c r="D22" s="973"/>
      <c r="E22" s="775">
        <f>AF21+AG21</f>
        <v>0</v>
      </c>
      <c r="F22" s="21"/>
      <c r="G22" s="21"/>
      <c r="H22" s="21"/>
      <c r="I22" s="21"/>
      <c r="J22" s="21"/>
      <c r="K22" s="21"/>
      <c r="L22" s="60"/>
      <c r="M22" s="60"/>
      <c r="O22" s="99"/>
      <c r="P22" s="99"/>
      <c r="Q22" s="60"/>
      <c r="R22" s="60"/>
      <c r="S22" s="60"/>
      <c r="T22" s="60"/>
      <c r="U22" s="60"/>
      <c r="V22" s="60"/>
      <c r="W22" s="60"/>
      <c r="X22" s="60"/>
      <c r="Y22" s="99"/>
      <c r="Z22" s="60"/>
      <c r="AA22" s="21"/>
      <c r="AB22" s="21"/>
      <c r="AC22" s="21"/>
      <c r="AD22" s="21"/>
      <c r="AE22" s="21"/>
      <c r="AF22" s="21"/>
      <c r="AG22" s="21"/>
      <c r="AH22" s="21"/>
      <c r="AI22" s="170"/>
      <c r="AJ22" s="170"/>
      <c r="AK22" s="12"/>
      <c r="AN22" s="21"/>
      <c r="AO22" s="38"/>
      <c r="AP22" s="145"/>
      <c r="AQ22" s="66"/>
      <c r="AR22" s="66"/>
      <c r="AS22" s="143"/>
      <c r="AT22" s="143"/>
      <c r="AU22" s="143"/>
      <c r="AV22" s="143"/>
    </row>
    <row r="23" spans="2:57" ht="30" customHeight="1" thickBot="1" x14ac:dyDescent="0.35">
      <c r="B23" s="15"/>
      <c r="C23" s="972" t="s">
        <v>138</v>
      </c>
      <c r="D23" s="973"/>
      <c r="E23" s="775">
        <f>AI21</f>
        <v>0</v>
      </c>
      <c r="F23" s="17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70"/>
      <c r="AJ23" s="170"/>
      <c r="AK23" s="12"/>
      <c r="AN23" s="11"/>
      <c r="AO23" s="11"/>
      <c r="AP23" s="95"/>
      <c r="AQ23" s="66"/>
      <c r="AR23" s="66"/>
      <c r="AS23" s="143"/>
      <c r="AT23" s="143"/>
      <c r="AU23" s="143"/>
      <c r="AV23" s="143"/>
    </row>
    <row r="24" spans="2:57" ht="30" customHeight="1" thickBot="1" x14ac:dyDescent="0.35">
      <c r="B24" s="15"/>
      <c r="C24" s="972" t="s">
        <v>144</v>
      </c>
      <c r="D24" s="973"/>
      <c r="E24" s="775">
        <f>IF(E23&lt;=('2. Medidas a).i)'!E23+'3. Medidas a).ii)'!E23+'4. Medidas a).iii) Sistemas'!E23+'5. Medidas a).iii) Iluminação'!E23+'6. Medidas a).iv)'!E23+'7. Medidas b).i)'!E23+'10. Medidas d)'!F20+'12.1 Apoio reembolsável'!D50)*0.3,E23,('2. Medidas a).i)'!E23+'3. Medidas a).ii)'!E23+'4. Medidas a).iii) Sistemas'!E23+'5. Medidas a).iii) Iluminação'!E23+'6. Medidas a).iv)'!E23+'7. Medidas b).i)'!E23+'10. Medidas d)'!F20+'12.1 Apoio reembolsável'!D50)*0.3)</f>
        <v>0</v>
      </c>
      <c r="F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70"/>
      <c r="AJ24" s="170"/>
      <c r="AK24" s="12"/>
      <c r="AN24" s="11"/>
      <c r="AO24" s="11"/>
      <c r="AP24" s="95"/>
      <c r="AQ24" s="66"/>
      <c r="AR24" s="66"/>
      <c r="AS24" s="143"/>
      <c r="AT24" s="143"/>
      <c r="AU24" s="143"/>
      <c r="AV24" s="143"/>
    </row>
    <row r="25" spans="2:57" ht="27.6" customHeight="1" thickBot="1" x14ac:dyDescent="0.35">
      <c r="B25" s="15"/>
      <c r="C25" s="2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66"/>
      <c r="AI25" s="170"/>
      <c r="AJ25" s="170"/>
      <c r="AK25" s="12"/>
      <c r="AN25" s="11"/>
      <c r="AO25" s="11"/>
      <c r="AP25" s="95"/>
      <c r="AQ25" s="11"/>
      <c r="AR25" s="66"/>
      <c r="AS25" s="143"/>
      <c r="AT25" s="143"/>
      <c r="AU25" s="143"/>
      <c r="AV25" s="143"/>
    </row>
    <row r="26" spans="2:57" ht="56.25" customHeight="1" thickBot="1" x14ac:dyDescent="0.35">
      <c r="B26" s="15"/>
      <c r="C26" s="101" t="s">
        <v>51</v>
      </c>
      <c r="D26" s="102"/>
      <c r="E26" s="102"/>
      <c r="F26" s="102"/>
      <c r="G26" s="102"/>
      <c r="H26" s="102"/>
      <c r="I26" s="974" t="s">
        <v>205</v>
      </c>
      <c r="J26" s="975"/>
      <c r="K26" s="976"/>
      <c r="L26" s="976"/>
      <c r="M26" s="976"/>
      <c r="N26" s="976"/>
      <c r="O26" s="976"/>
      <c r="P26" s="976"/>
      <c r="Q26" s="976"/>
      <c r="R26" s="976"/>
      <c r="S26" s="976"/>
      <c r="T26" s="976"/>
      <c r="U26" s="976"/>
      <c r="V26" s="976"/>
      <c r="W26" s="976"/>
      <c r="X26" s="976"/>
      <c r="Y26" s="976"/>
      <c r="Z26" s="976"/>
      <c r="AA26" s="976"/>
      <c r="AB26" s="976"/>
      <c r="AC26" s="976"/>
      <c r="AD26" s="976"/>
      <c r="AE26" s="976"/>
      <c r="AF26" s="976"/>
      <c r="AG26" s="976"/>
      <c r="AH26" s="977"/>
      <c r="AI26" s="170"/>
      <c r="AJ26" s="170"/>
      <c r="AK26" s="12"/>
      <c r="AN26" s="11"/>
      <c r="AO26" s="11"/>
      <c r="AP26" s="95"/>
      <c r="AQ26" s="11"/>
      <c r="AR26" s="66"/>
      <c r="AS26" s="143"/>
      <c r="AT26" s="143"/>
      <c r="AU26" s="143"/>
      <c r="AV26" s="143"/>
    </row>
    <row r="27" spans="2:57" ht="15" thickBot="1" x14ac:dyDescent="0.35">
      <c r="B27" s="15"/>
      <c r="C27" s="103"/>
      <c r="D27" s="104"/>
      <c r="E27" s="104"/>
      <c r="F27" s="104"/>
      <c r="G27" s="105"/>
      <c r="H27" s="104"/>
      <c r="I27" s="993" t="s">
        <v>25</v>
      </c>
      <c r="J27" s="994"/>
      <c r="K27" s="994"/>
      <c r="L27" s="994"/>
      <c r="M27" s="994"/>
      <c r="N27" s="994"/>
      <c r="O27" s="994"/>
      <c r="P27" s="994"/>
      <c r="Q27" s="994"/>
      <c r="R27" s="994"/>
      <c r="S27" s="994"/>
      <c r="T27" s="994"/>
      <c r="U27" s="994"/>
      <c r="V27" s="994"/>
      <c r="W27" s="994"/>
      <c r="X27" s="994"/>
      <c r="Y27" s="994"/>
      <c r="Z27" s="994"/>
      <c r="AA27" s="994"/>
      <c r="AB27" s="994"/>
      <c r="AC27" s="994"/>
      <c r="AD27" s="994"/>
      <c r="AE27" s="994"/>
      <c r="AF27" s="994"/>
      <c r="AG27" s="995"/>
      <c r="AH27" s="106"/>
      <c r="AI27" s="170"/>
      <c r="AJ27" s="170"/>
      <c r="AK27" s="12"/>
      <c r="AN27" s="11"/>
      <c r="AO27" s="11"/>
      <c r="AP27" s="11"/>
      <c r="AQ27" s="11"/>
      <c r="AR27" s="66"/>
      <c r="AS27" s="143"/>
      <c r="AT27" s="143"/>
      <c r="AU27" s="143"/>
      <c r="AV27" s="143"/>
    </row>
    <row r="28" spans="2:57" ht="28.5" customHeight="1" thickBot="1" x14ac:dyDescent="0.35">
      <c r="B28" s="15"/>
      <c r="C28" s="107" t="s">
        <v>52</v>
      </c>
      <c r="D28" s="108" t="s">
        <v>185</v>
      </c>
      <c r="E28" s="108" t="s">
        <v>184</v>
      </c>
      <c r="F28" s="108" t="s">
        <v>190</v>
      </c>
      <c r="G28" s="971" t="s">
        <v>121</v>
      </c>
      <c r="H28" s="971"/>
      <c r="I28" s="109">
        <v>1</v>
      </c>
      <c r="J28" s="109">
        <v>2</v>
      </c>
      <c r="K28" s="109">
        <v>3</v>
      </c>
      <c r="L28" s="109">
        <v>4</v>
      </c>
      <c r="M28" s="109">
        <v>5</v>
      </c>
      <c r="N28" s="109">
        <v>6</v>
      </c>
      <c r="O28" s="109">
        <v>7</v>
      </c>
      <c r="P28" s="109">
        <v>8</v>
      </c>
      <c r="Q28" s="109">
        <v>9</v>
      </c>
      <c r="R28" s="109">
        <v>10</v>
      </c>
      <c r="S28" s="109">
        <v>11</v>
      </c>
      <c r="T28" s="109">
        <v>12</v>
      </c>
      <c r="U28" s="109">
        <v>13</v>
      </c>
      <c r="V28" s="109">
        <v>14</v>
      </c>
      <c r="W28" s="109">
        <v>15</v>
      </c>
      <c r="X28" s="109">
        <v>16</v>
      </c>
      <c r="Y28" s="109">
        <v>17</v>
      </c>
      <c r="Z28" s="109">
        <v>18</v>
      </c>
      <c r="AA28" s="109">
        <v>19</v>
      </c>
      <c r="AB28" s="109">
        <v>20</v>
      </c>
      <c r="AC28" s="109">
        <v>21</v>
      </c>
      <c r="AD28" s="109">
        <v>22</v>
      </c>
      <c r="AE28" s="109">
        <v>23</v>
      </c>
      <c r="AF28" s="109">
        <v>24</v>
      </c>
      <c r="AG28" s="109">
        <v>25</v>
      </c>
      <c r="AH28" s="110" t="s">
        <v>53</v>
      </c>
      <c r="AI28" s="315"/>
      <c r="AJ28" s="13" t="s">
        <v>234</v>
      </c>
      <c r="AK28" s="316" t="s">
        <v>233</v>
      </c>
      <c r="AN28" s="11"/>
      <c r="AO28" s="11"/>
      <c r="AP28" s="11"/>
      <c r="AQ28" s="11"/>
      <c r="AR28" s="11"/>
      <c r="AS28" s="143"/>
      <c r="AT28" s="143"/>
      <c r="AU28" s="143"/>
      <c r="AV28" s="143"/>
    </row>
    <row r="29" spans="2:57" ht="15" thickBot="1" x14ac:dyDescent="0.35">
      <c r="B29" s="15"/>
      <c r="C29" s="111">
        <f>C10</f>
        <v>1</v>
      </c>
      <c r="D29" s="112">
        <f>W10</f>
        <v>0</v>
      </c>
      <c r="E29" s="112">
        <f t="shared" ref="E29:F33" si="11">AB10</f>
        <v>0</v>
      </c>
      <c r="F29" s="112">
        <f t="shared" si="11"/>
        <v>0</v>
      </c>
      <c r="G29" s="112">
        <f>IF(D29="",0,D29-E29)</f>
        <v>0</v>
      </c>
      <c r="H29" s="113"/>
      <c r="I29" s="114">
        <f>IF($H10&gt;=25,$G29,IF(I$28&lt;=$H10,$G29,IF(I$28&lt;=($H10*($AD10+1)),$G29,0)))-IF($H10="",0,IF(I$28-1&lt;=($H10*$AD10),$F29,0))*IF(OR($AE10=0,$AE10&gt;25),0,IF(MOD(I$28,$H10)=0,1,0))</f>
        <v>0</v>
      </c>
      <c r="J29" s="114">
        <f t="shared" ref="J29:AG29" si="12">IF($H10&gt;=25,$G29,IF(J$28&lt;=$H10,$G29,IF(J$28&lt;=($H10*($AD10+1)),$G29,0)))-IF($H10="",0,IF(J$28-1&lt;=($H10*$AD10),$F29,0))*IF(OR($AE10=0,$AE10&gt;25),0,IF(MOD(J$28-1,$H10)=0,1,0))</f>
        <v>0</v>
      </c>
      <c r="K29" s="114">
        <f t="shared" si="12"/>
        <v>0</v>
      </c>
      <c r="L29" s="114">
        <f t="shared" si="12"/>
        <v>0</v>
      </c>
      <c r="M29" s="114">
        <f t="shared" si="12"/>
        <v>0</v>
      </c>
      <c r="N29" s="114">
        <f t="shared" si="12"/>
        <v>0</v>
      </c>
      <c r="O29" s="114">
        <f t="shared" si="12"/>
        <v>0</v>
      </c>
      <c r="P29" s="114">
        <f t="shared" si="12"/>
        <v>0</v>
      </c>
      <c r="Q29" s="114">
        <f t="shared" si="12"/>
        <v>0</v>
      </c>
      <c r="R29" s="114">
        <f t="shared" si="12"/>
        <v>0</v>
      </c>
      <c r="S29" s="114">
        <f t="shared" si="12"/>
        <v>0</v>
      </c>
      <c r="T29" s="114">
        <f t="shared" si="12"/>
        <v>0</v>
      </c>
      <c r="U29" s="114">
        <f t="shared" si="12"/>
        <v>0</v>
      </c>
      <c r="V29" s="114">
        <f t="shared" si="12"/>
        <v>0</v>
      </c>
      <c r="W29" s="114">
        <f t="shared" si="12"/>
        <v>0</v>
      </c>
      <c r="X29" s="114">
        <f t="shared" si="12"/>
        <v>0</v>
      </c>
      <c r="Y29" s="114">
        <f t="shared" si="12"/>
        <v>0</v>
      </c>
      <c r="Z29" s="114">
        <f t="shared" si="12"/>
        <v>0</v>
      </c>
      <c r="AA29" s="114">
        <f t="shared" si="12"/>
        <v>0</v>
      </c>
      <c r="AB29" s="114">
        <f t="shared" si="12"/>
        <v>0</v>
      </c>
      <c r="AC29" s="114">
        <f t="shared" si="12"/>
        <v>0</v>
      </c>
      <c r="AD29" s="114">
        <f t="shared" si="12"/>
        <v>0</v>
      </c>
      <c r="AE29" s="114">
        <f t="shared" si="12"/>
        <v>0</v>
      </c>
      <c r="AF29" s="114">
        <f t="shared" si="12"/>
        <v>0</v>
      </c>
      <c r="AG29" s="114">
        <f t="shared" si="12"/>
        <v>0</v>
      </c>
      <c r="AH29" s="115">
        <f t="shared" ref="AH29:AH38" si="13">SUM(I29:AG29)</f>
        <v>0</v>
      </c>
      <c r="AI29" s="315">
        <v>1</v>
      </c>
      <c r="AJ29" s="13">
        <f>+IF(F10="",0,IF(F10=#REF!,0,IF(F10=#REF!,1.501,IF(F10=#REF!,20.001,0))))</f>
        <v>0</v>
      </c>
      <c r="AK29" s="316">
        <f>+IF(F10="",10000000000,IF(F10=#REF!,1.5,IF(F10=#REF!,20,IF(F10=#REF!,10000000000,10000000000))))</f>
        <v>10000000000</v>
      </c>
      <c r="AS29" s="143"/>
      <c r="AT29" s="143"/>
      <c r="AU29" s="143"/>
      <c r="AV29" s="143"/>
    </row>
    <row r="30" spans="2:57" ht="15" thickBot="1" x14ac:dyDescent="0.35">
      <c r="B30" s="15"/>
      <c r="C30" s="111">
        <f>C11</f>
        <v>2</v>
      </c>
      <c r="D30" s="112">
        <f>W11</f>
        <v>0</v>
      </c>
      <c r="E30" s="112">
        <f t="shared" si="11"/>
        <v>0</v>
      </c>
      <c r="F30" s="112">
        <f t="shared" si="11"/>
        <v>0</v>
      </c>
      <c r="G30" s="112">
        <f t="shared" ref="G30:G38" si="14">IF(D30="",0,D30-E30)</f>
        <v>0</v>
      </c>
      <c r="H30" s="116"/>
      <c r="I30" s="114">
        <f>IF($H11&gt;=25,$G30,IF(I$28&lt;=$H11,$G30,IF(I$28&lt;=($H11*($AD11+1)),$G30,0)))-IF($H11="",0,IF(I$28-1&lt;=($H11*$AD11),$F30,0))*IF(OR($AE11=0,$AE11&gt;25),0,IF(MOD(I$28,$H11)=0,1,0))</f>
        <v>0</v>
      </c>
      <c r="J30" s="114">
        <f t="shared" ref="J30:AG30" si="15">IF($H11&gt;=25,$G30,IF(J$28&lt;=$H11,$G30,IF(J$28&lt;=($H11*($AD11+1)),$G30,0)))-IF($H11="",0,IF(J$28-1&lt;=($H11*$AD11),$F30,0))*IF(OR($AE11=0,$AE11&gt;25),0,IF(MOD(J$28-1,$H11)=0,1,0))</f>
        <v>0</v>
      </c>
      <c r="K30" s="114">
        <f t="shared" si="15"/>
        <v>0</v>
      </c>
      <c r="L30" s="114">
        <f t="shared" si="15"/>
        <v>0</v>
      </c>
      <c r="M30" s="114">
        <f t="shared" si="15"/>
        <v>0</v>
      </c>
      <c r="N30" s="114">
        <f t="shared" si="15"/>
        <v>0</v>
      </c>
      <c r="O30" s="114">
        <f t="shared" si="15"/>
        <v>0</v>
      </c>
      <c r="P30" s="114">
        <f t="shared" si="15"/>
        <v>0</v>
      </c>
      <c r="Q30" s="114">
        <f t="shared" si="15"/>
        <v>0</v>
      </c>
      <c r="R30" s="114">
        <f t="shared" si="15"/>
        <v>0</v>
      </c>
      <c r="S30" s="114">
        <f t="shared" si="15"/>
        <v>0</v>
      </c>
      <c r="T30" s="114">
        <f t="shared" si="15"/>
        <v>0</v>
      </c>
      <c r="U30" s="114">
        <f t="shared" si="15"/>
        <v>0</v>
      </c>
      <c r="V30" s="114">
        <f t="shared" si="15"/>
        <v>0</v>
      </c>
      <c r="W30" s="114">
        <f t="shared" si="15"/>
        <v>0</v>
      </c>
      <c r="X30" s="114">
        <f t="shared" si="15"/>
        <v>0</v>
      </c>
      <c r="Y30" s="114">
        <f t="shared" si="15"/>
        <v>0</v>
      </c>
      <c r="Z30" s="114">
        <f t="shared" si="15"/>
        <v>0</v>
      </c>
      <c r="AA30" s="114">
        <f t="shared" si="15"/>
        <v>0</v>
      </c>
      <c r="AB30" s="114">
        <f t="shared" si="15"/>
        <v>0</v>
      </c>
      <c r="AC30" s="114">
        <f t="shared" si="15"/>
        <v>0</v>
      </c>
      <c r="AD30" s="114">
        <f t="shared" si="15"/>
        <v>0</v>
      </c>
      <c r="AE30" s="114">
        <f t="shared" si="15"/>
        <v>0</v>
      </c>
      <c r="AF30" s="114">
        <f t="shared" si="15"/>
        <v>0</v>
      </c>
      <c r="AG30" s="114">
        <f t="shared" si="15"/>
        <v>0</v>
      </c>
      <c r="AH30" s="115">
        <f t="shared" si="13"/>
        <v>0</v>
      </c>
      <c r="AI30" s="315">
        <v>2</v>
      </c>
      <c r="AJ30" s="13">
        <f>+IF(F11="",0,IF(F11=#REF!,0,IF(F11=#REF!,1.501,IF(F11=#REF!,20.001,0))))</f>
        <v>0</v>
      </c>
      <c r="AK30" s="316">
        <f>+IF(F11="",10000000000,IF(F11=#REF!,1.5,IF(F11=#REF!,20,IF(F11=#REF!,10000000000,10000000000))))</f>
        <v>10000000000</v>
      </c>
      <c r="AS30" s="143"/>
      <c r="AT30" s="143"/>
      <c r="AU30" s="143"/>
      <c r="AV30" s="143"/>
    </row>
    <row r="31" spans="2:57" ht="15" thickBot="1" x14ac:dyDescent="0.35">
      <c r="B31" s="15"/>
      <c r="C31" s="111">
        <f>C12</f>
        <v>3</v>
      </c>
      <c r="D31" s="112">
        <f>W12</f>
        <v>0</v>
      </c>
      <c r="E31" s="112">
        <f t="shared" si="11"/>
        <v>0</v>
      </c>
      <c r="F31" s="112">
        <f t="shared" si="11"/>
        <v>0</v>
      </c>
      <c r="G31" s="112">
        <f t="shared" si="14"/>
        <v>0</v>
      </c>
      <c r="H31" s="116"/>
      <c r="I31" s="114">
        <f>IF($H12&gt;=25,$G31,IF(I$28&lt;=$H12,$G31,IF(I$28&lt;=($H12*($AD12+1)),$G31,0)))-IF($H12="",0,IF(I$28-1&lt;=($H12*$AD12),$F31,0))*IF(OR($AE12=0,$AE12&gt;25),0,IF(MOD(I$28,$H12)=0,1,0))</f>
        <v>0</v>
      </c>
      <c r="J31" s="114">
        <f t="shared" ref="J31:AG31" si="16">IF($H12&gt;=25,$G31,IF(J$28&lt;=$H12,$G31,IF(J$28&lt;=($H12*($AD12+1)),$G31,0)))-IF($H12="",0,IF(J$28-1&lt;=($H12*$AD12),$F31,0))*IF(OR($AE12=0,$AE12&gt;25),0,IF(MOD(J$28-1,$H12)=0,1,0))</f>
        <v>0</v>
      </c>
      <c r="K31" s="114">
        <f t="shared" si="16"/>
        <v>0</v>
      </c>
      <c r="L31" s="114">
        <f t="shared" si="16"/>
        <v>0</v>
      </c>
      <c r="M31" s="114">
        <f t="shared" si="16"/>
        <v>0</v>
      </c>
      <c r="N31" s="114">
        <f t="shared" si="16"/>
        <v>0</v>
      </c>
      <c r="O31" s="114">
        <f t="shared" si="16"/>
        <v>0</v>
      </c>
      <c r="P31" s="114">
        <f t="shared" si="16"/>
        <v>0</v>
      </c>
      <c r="Q31" s="114">
        <f t="shared" si="16"/>
        <v>0</v>
      </c>
      <c r="R31" s="114">
        <f t="shared" si="16"/>
        <v>0</v>
      </c>
      <c r="S31" s="114">
        <f t="shared" si="16"/>
        <v>0</v>
      </c>
      <c r="T31" s="114">
        <f t="shared" si="16"/>
        <v>0</v>
      </c>
      <c r="U31" s="114">
        <f t="shared" si="16"/>
        <v>0</v>
      </c>
      <c r="V31" s="114">
        <f t="shared" si="16"/>
        <v>0</v>
      </c>
      <c r="W31" s="114">
        <f t="shared" si="16"/>
        <v>0</v>
      </c>
      <c r="X31" s="114">
        <f t="shared" si="16"/>
        <v>0</v>
      </c>
      <c r="Y31" s="114">
        <f t="shared" si="16"/>
        <v>0</v>
      </c>
      <c r="Z31" s="114">
        <f t="shared" si="16"/>
        <v>0</v>
      </c>
      <c r="AA31" s="114">
        <f t="shared" si="16"/>
        <v>0</v>
      </c>
      <c r="AB31" s="114">
        <f t="shared" si="16"/>
        <v>0</v>
      </c>
      <c r="AC31" s="114">
        <f t="shared" si="16"/>
        <v>0</v>
      </c>
      <c r="AD31" s="114">
        <f t="shared" si="16"/>
        <v>0</v>
      </c>
      <c r="AE31" s="114">
        <f t="shared" si="16"/>
        <v>0</v>
      </c>
      <c r="AF31" s="114">
        <f t="shared" si="16"/>
        <v>0</v>
      </c>
      <c r="AG31" s="114">
        <f t="shared" si="16"/>
        <v>0</v>
      </c>
      <c r="AH31" s="115">
        <f t="shared" si="13"/>
        <v>0</v>
      </c>
      <c r="AI31" s="315">
        <v>3</v>
      </c>
      <c r="AJ31" s="13">
        <f>+IF(F12="",0,IF(F12=#REF!,0,IF(F12=#REF!,1.501,IF(F12=#REF!,20.001,0))))</f>
        <v>0</v>
      </c>
      <c r="AK31" s="316">
        <f>+IF(F12="",10000000000,IF(F12=#REF!,1.5,IF(F12=#REF!,20,IF(F12=#REF!,10000000000,10000000000))))</f>
        <v>10000000000</v>
      </c>
      <c r="AS31" s="143"/>
      <c r="AT31" s="143"/>
      <c r="AU31" s="143"/>
      <c r="AV31" s="143"/>
    </row>
    <row r="32" spans="2:57" ht="15" thickBot="1" x14ac:dyDescent="0.35">
      <c r="B32" s="15"/>
      <c r="C32" s="111">
        <f>C13</f>
        <v>4</v>
      </c>
      <c r="D32" s="112">
        <f>W13</f>
        <v>0</v>
      </c>
      <c r="E32" s="112">
        <f t="shared" si="11"/>
        <v>0</v>
      </c>
      <c r="F32" s="112">
        <f t="shared" si="11"/>
        <v>0</v>
      </c>
      <c r="G32" s="112">
        <f t="shared" si="14"/>
        <v>0</v>
      </c>
      <c r="H32" s="116"/>
      <c r="I32" s="114">
        <f>IF($H13&gt;=25,$G32,IF(I$28&lt;=$H13,$G32,IF(I$28&lt;=($H13*($AD13+1)),$G32,0)))-IF($H13="",0,IF(I$28-1&lt;=($H13*$AD13),$F32,0))*IF(OR($AE13=0,$AE13&gt;25),0,IF(MOD(I$28,$H13)=0,1,0))</f>
        <v>0</v>
      </c>
      <c r="J32" s="114">
        <f t="shared" ref="J32:AG32" si="17">IF($H13&gt;=25,$G32,IF(J$28&lt;=$H13,$G32,IF(J$28&lt;=($H13*($AD13+1)),$G32,0)))-IF($H13="",0,IF(J$28-1&lt;=($H13*$AD13),$F32,0))*IF(OR($AE13=0,$AE13&gt;25),0,IF(MOD(J$28-1,$H13)=0,1,0))</f>
        <v>0</v>
      </c>
      <c r="K32" s="114">
        <f t="shared" si="17"/>
        <v>0</v>
      </c>
      <c r="L32" s="114">
        <f t="shared" si="17"/>
        <v>0</v>
      </c>
      <c r="M32" s="114">
        <f t="shared" si="17"/>
        <v>0</v>
      </c>
      <c r="N32" s="114">
        <f t="shared" si="17"/>
        <v>0</v>
      </c>
      <c r="O32" s="114">
        <f t="shared" si="17"/>
        <v>0</v>
      </c>
      <c r="P32" s="114">
        <f t="shared" si="17"/>
        <v>0</v>
      </c>
      <c r="Q32" s="114">
        <f t="shared" si="17"/>
        <v>0</v>
      </c>
      <c r="R32" s="114">
        <f t="shared" si="17"/>
        <v>0</v>
      </c>
      <c r="S32" s="114">
        <f t="shared" si="17"/>
        <v>0</v>
      </c>
      <c r="T32" s="114">
        <f t="shared" si="17"/>
        <v>0</v>
      </c>
      <c r="U32" s="114">
        <f t="shared" si="17"/>
        <v>0</v>
      </c>
      <c r="V32" s="114">
        <f t="shared" si="17"/>
        <v>0</v>
      </c>
      <c r="W32" s="114">
        <f t="shared" si="17"/>
        <v>0</v>
      </c>
      <c r="X32" s="114">
        <f t="shared" si="17"/>
        <v>0</v>
      </c>
      <c r="Y32" s="114">
        <f t="shared" si="17"/>
        <v>0</v>
      </c>
      <c r="Z32" s="114">
        <f t="shared" si="17"/>
        <v>0</v>
      </c>
      <c r="AA32" s="114">
        <f t="shared" si="17"/>
        <v>0</v>
      </c>
      <c r="AB32" s="114">
        <f t="shared" si="17"/>
        <v>0</v>
      </c>
      <c r="AC32" s="114">
        <f t="shared" si="17"/>
        <v>0</v>
      </c>
      <c r="AD32" s="114">
        <f t="shared" si="17"/>
        <v>0</v>
      </c>
      <c r="AE32" s="114">
        <f t="shared" si="17"/>
        <v>0</v>
      </c>
      <c r="AF32" s="114">
        <f t="shared" si="17"/>
        <v>0</v>
      </c>
      <c r="AG32" s="114">
        <f t="shared" si="17"/>
        <v>0</v>
      </c>
      <c r="AH32" s="115">
        <f t="shared" si="13"/>
        <v>0</v>
      </c>
      <c r="AI32" s="315">
        <v>4</v>
      </c>
      <c r="AJ32" s="13">
        <f>+IF(F13="",0,IF(F13=#REF!,0,IF(F13=#REF!,1.501,IF(F13=#REF!,20.001,0))))</f>
        <v>0</v>
      </c>
      <c r="AK32" s="316">
        <f>+IF(F13="",10000000000,IF(F13=#REF!,1.5,IF(F13=#REF!,20,IF(F13=#REF!,10000000000,10000000000))))</f>
        <v>10000000000</v>
      </c>
      <c r="AS32" s="143"/>
      <c r="AT32" s="143"/>
      <c r="AU32" s="143"/>
      <c r="AV32" s="143"/>
    </row>
    <row r="33" spans="2:48" ht="15" customHeight="1" thickBot="1" x14ac:dyDescent="0.35">
      <c r="B33" s="15"/>
      <c r="C33" s="111">
        <f>C14</f>
        <v>5</v>
      </c>
      <c r="D33" s="112">
        <f>W14</f>
        <v>0</v>
      </c>
      <c r="E33" s="112">
        <f t="shared" si="11"/>
        <v>0</v>
      </c>
      <c r="F33" s="112">
        <f t="shared" si="11"/>
        <v>0</v>
      </c>
      <c r="G33" s="112">
        <f t="shared" si="14"/>
        <v>0</v>
      </c>
      <c r="H33" s="116"/>
      <c r="I33" s="114">
        <f>IF($H14&gt;=25,$G33,IF(I$28&lt;=$H14,$G33,IF(I$28&lt;=($H14*($AD14+1)),$G33,0)))-IF($H14="",0,IF(I$28-1&lt;=($H14*$AD14),$F33,0))*IF(OR($AE14=0,$AE14&gt;25),0,IF(MOD(I$28,$H14)=0,1,0))</f>
        <v>0</v>
      </c>
      <c r="J33" s="114">
        <f t="shared" ref="J33:AG33" si="18">IF($H14&gt;=25,$G33,IF(J$28&lt;=$H14,$G33,IF(J$28&lt;=($H14*($AD14+1)),$G33,0)))-IF($H14="",0,IF(J$28-1&lt;=($H14*$AD14),$F33,0))*IF(OR($AE14=0,$AE14&gt;25),0,IF(MOD(J$28-1,$H14)=0,1,0))</f>
        <v>0</v>
      </c>
      <c r="K33" s="114">
        <f t="shared" si="18"/>
        <v>0</v>
      </c>
      <c r="L33" s="114">
        <f t="shared" si="18"/>
        <v>0</v>
      </c>
      <c r="M33" s="114">
        <f t="shared" si="18"/>
        <v>0</v>
      </c>
      <c r="N33" s="114">
        <f t="shared" si="18"/>
        <v>0</v>
      </c>
      <c r="O33" s="114">
        <f t="shared" si="18"/>
        <v>0</v>
      </c>
      <c r="P33" s="114">
        <f t="shared" si="18"/>
        <v>0</v>
      </c>
      <c r="Q33" s="114">
        <f t="shared" si="18"/>
        <v>0</v>
      </c>
      <c r="R33" s="114">
        <f t="shared" si="18"/>
        <v>0</v>
      </c>
      <c r="S33" s="114">
        <f t="shared" si="18"/>
        <v>0</v>
      </c>
      <c r="T33" s="114">
        <f t="shared" si="18"/>
        <v>0</v>
      </c>
      <c r="U33" s="114">
        <f t="shared" si="18"/>
        <v>0</v>
      </c>
      <c r="V33" s="114">
        <f t="shared" si="18"/>
        <v>0</v>
      </c>
      <c r="W33" s="114">
        <f t="shared" si="18"/>
        <v>0</v>
      </c>
      <c r="X33" s="114">
        <f t="shared" si="18"/>
        <v>0</v>
      </c>
      <c r="Y33" s="114">
        <f t="shared" si="18"/>
        <v>0</v>
      </c>
      <c r="Z33" s="114">
        <f t="shared" si="18"/>
        <v>0</v>
      </c>
      <c r="AA33" s="114">
        <f t="shared" si="18"/>
        <v>0</v>
      </c>
      <c r="AB33" s="114">
        <f t="shared" si="18"/>
        <v>0</v>
      </c>
      <c r="AC33" s="114">
        <f t="shared" si="18"/>
        <v>0</v>
      </c>
      <c r="AD33" s="114">
        <f t="shared" si="18"/>
        <v>0</v>
      </c>
      <c r="AE33" s="114">
        <f t="shared" si="18"/>
        <v>0</v>
      </c>
      <c r="AF33" s="114">
        <f t="shared" si="18"/>
        <v>0</v>
      </c>
      <c r="AG33" s="114">
        <f t="shared" si="18"/>
        <v>0</v>
      </c>
      <c r="AH33" s="115">
        <f t="shared" si="13"/>
        <v>0</v>
      </c>
      <c r="AI33" s="315">
        <v>5</v>
      </c>
      <c r="AJ33" s="13">
        <f>+IF(F14="",0,IF(F14=#REF!,0,IF(F14=#REF!,1.501,IF(F14=#REF!,20.001,0))))</f>
        <v>0</v>
      </c>
      <c r="AK33" s="316">
        <f>+IF(F14="",10000000000,IF(F14=#REF!,1.5,IF(F14=#REF!,20,IF(F14=#REF!,10000000000,10000000000))))</f>
        <v>10000000000</v>
      </c>
      <c r="AS33" s="143"/>
      <c r="AT33" s="143"/>
      <c r="AU33" s="143"/>
      <c r="AV33" s="143"/>
    </row>
    <row r="34" spans="2:48" ht="15" thickBot="1" x14ac:dyDescent="0.35">
      <c r="B34" s="15"/>
      <c r="C34" s="111">
        <f>C16</f>
        <v>6</v>
      </c>
      <c r="D34" s="117">
        <f>W16</f>
        <v>0</v>
      </c>
      <c r="E34" s="117">
        <f t="shared" ref="E34:F38" si="19">AB16</f>
        <v>0</v>
      </c>
      <c r="F34" s="117">
        <f t="shared" si="19"/>
        <v>0</v>
      </c>
      <c r="G34" s="112">
        <f t="shared" si="14"/>
        <v>0</v>
      </c>
      <c r="H34" s="118"/>
      <c r="I34" s="114">
        <f>IF($H16&gt;=25,$G34,IF(I$28&lt;=$H16,$G34,IF(I$28&lt;=($H16*($AD16+1)),$G34,0)))-IF(I$28-1&lt;=($H16*$AD16),$F34,0)*IF(OR($AE16=0,$AE16&gt;25),0,IF(MOD(I$28,$H16)=0,1,0))</f>
        <v>0</v>
      </c>
      <c r="J34" s="114">
        <f t="shared" ref="J34:AG34" si="20">IF($H16&gt;=25,$G34,IF(J$28&lt;=$H16,$G34,IF(J$28&lt;=($H16*($AD16+1)),$G34,0)))-IF(J$28-1&lt;=($H16*$AD16),$F34,0)*IF(OR($AE16=0,$AE16&gt;25),0,IF(MOD(J$28-1,$H16)=0,1,0))</f>
        <v>0</v>
      </c>
      <c r="K34" s="114">
        <f t="shared" si="20"/>
        <v>0</v>
      </c>
      <c r="L34" s="114">
        <f t="shared" si="20"/>
        <v>0</v>
      </c>
      <c r="M34" s="114">
        <f t="shared" si="20"/>
        <v>0</v>
      </c>
      <c r="N34" s="114">
        <f t="shared" si="20"/>
        <v>0</v>
      </c>
      <c r="O34" s="114">
        <f t="shared" si="20"/>
        <v>0</v>
      </c>
      <c r="P34" s="114">
        <f t="shared" si="20"/>
        <v>0</v>
      </c>
      <c r="Q34" s="114">
        <f t="shared" si="20"/>
        <v>0</v>
      </c>
      <c r="R34" s="114">
        <f t="shared" si="20"/>
        <v>0</v>
      </c>
      <c r="S34" s="114">
        <f t="shared" si="20"/>
        <v>0</v>
      </c>
      <c r="T34" s="114">
        <f t="shared" si="20"/>
        <v>0</v>
      </c>
      <c r="U34" s="114">
        <f t="shared" si="20"/>
        <v>0</v>
      </c>
      <c r="V34" s="114">
        <f t="shared" si="20"/>
        <v>0</v>
      </c>
      <c r="W34" s="114">
        <f t="shared" si="20"/>
        <v>0</v>
      </c>
      <c r="X34" s="114">
        <f t="shared" si="20"/>
        <v>0</v>
      </c>
      <c r="Y34" s="114">
        <f t="shared" si="20"/>
        <v>0</v>
      </c>
      <c r="Z34" s="114">
        <f t="shared" si="20"/>
        <v>0</v>
      </c>
      <c r="AA34" s="114">
        <f t="shared" si="20"/>
        <v>0</v>
      </c>
      <c r="AB34" s="114">
        <f t="shared" si="20"/>
        <v>0</v>
      </c>
      <c r="AC34" s="114">
        <f t="shared" si="20"/>
        <v>0</v>
      </c>
      <c r="AD34" s="114">
        <f t="shared" si="20"/>
        <v>0</v>
      </c>
      <c r="AE34" s="114">
        <f t="shared" si="20"/>
        <v>0</v>
      </c>
      <c r="AF34" s="114">
        <f t="shared" si="20"/>
        <v>0</v>
      </c>
      <c r="AG34" s="114">
        <f t="shared" si="20"/>
        <v>0</v>
      </c>
      <c r="AH34" s="115">
        <f t="shared" si="13"/>
        <v>0</v>
      </c>
      <c r="AI34" s="315"/>
      <c r="AJ34" s="315"/>
      <c r="AK34" s="316"/>
      <c r="AS34" s="143"/>
      <c r="AT34" s="143"/>
      <c r="AU34" s="143"/>
      <c r="AV34" s="143"/>
    </row>
    <row r="35" spans="2:48" ht="15" thickBot="1" x14ac:dyDescent="0.35">
      <c r="B35" s="15"/>
      <c r="C35" s="111">
        <f>C17</f>
        <v>7</v>
      </c>
      <c r="D35" s="117">
        <f>W17</f>
        <v>0</v>
      </c>
      <c r="E35" s="117">
        <f t="shared" si="19"/>
        <v>0</v>
      </c>
      <c r="F35" s="117">
        <f t="shared" si="19"/>
        <v>0</v>
      </c>
      <c r="G35" s="112">
        <f t="shared" si="14"/>
        <v>0</v>
      </c>
      <c r="H35" s="118"/>
      <c r="I35" s="114">
        <f>IF($H17&gt;=25,$G35,IF(I$28&lt;=$H17,$G35,IF(I$28&lt;=($H17*($AD17+1)),$G35,0)))-IF(I$28-1&lt;=($H17*$AD17),$F35,0)*IF(OR($AE17=0,$AE17&gt;25),0,IF(MOD(I$28,$H17)=0,1,0))</f>
        <v>0</v>
      </c>
      <c r="J35" s="114">
        <f t="shared" ref="J35:AG35" si="21">IF($H17&gt;=25,$G35,IF(J$28&lt;=$H17,$G35,IF(J$28&lt;=($H17*($AD17+1)),$G35,0)))-IF(J$28-1&lt;=($H17*$AD17),$F35,0)*IF(OR($AE17=0,$AE17&gt;25),0,IF(MOD(J$28-1,$H17)=0,1,0))</f>
        <v>0</v>
      </c>
      <c r="K35" s="114">
        <f t="shared" si="21"/>
        <v>0</v>
      </c>
      <c r="L35" s="114">
        <f t="shared" si="21"/>
        <v>0</v>
      </c>
      <c r="M35" s="114">
        <f t="shared" si="21"/>
        <v>0</v>
      </c>
      <c r="N35" s="114">
        <f t="shared" si="21"/>
        <v>0</v>
      </c>
      <c r="O35" s="114">
        <f t="shared" si="21"/>
        <v>0</v>
      </c>
      <c r="P35" s="114">
        <f t="shared" si="21"/>
        <v>0</v>
      </c>
      <c r="Q35" s="114">
        <f t="shared" si="21"/>
        <v>0</v>
      </c>
      <c r="R35" s="114">
        <f t="shared" si="21"/>
        <v>0</v>
      </c>
      <c r="S35" s="114">
        <f t="shared" si="21"/>
        <v>0</v>
      </c>
      <c r="T35" s="114">
        <f t="shared" si="21"/>
        <v>0</v>
      </c>
      <c r="U35" s="114">
        <f t="shared" si="21"/>
        <v>0</v>
      </c>
      <c r="V35" s="114">
        <f t="shared" si="21"/>
        <v>0</v>
      </c>
      <c r="W35" s="114">
        <f t="shared" si="21"/>
        <v>0</v>
      </c>
      <c r="X35" s="114">
        <f t="shared" si="21"/>
        <v>0</v>
      </c>
      <c r="Y35" s="114">
        <f t="shared" si="21"/>
        <v>0</v>
      </c>
      <c r="Z35" s="114">
        <f t="shared" si="21"/>
        <v>0</v>
      </c>
      <c r="AA35" s="114">
        <f t="shared" si="21"/>
        <v>0</v>
      </c>
      <c r="AB35" s="114">
        <f t="shared" si="21"/>
        <v>0</v>
      </c>
      <c r="AC35" s="114">
        <f t="shared" si="21"/>
        <v>0</v>
      </c>
      <c r="AD35" s="114">
        <f t="shared" si="21"/>
        <v>0</v>
      </c>
      <c r="AE35" s="114">
        <f t="shared" si="21"/>
        <v>0</v>
      </c>
      <c r="AF35" s="114">
        <f t="shared" si="21"/>
        <v>0</v>
      </c>
      <c r="AG35" s="114">
        <f t="shared" si="21"/>
        <v>0</v>
      </c>
      <c r="AH35" s="115">
        <f>SUM(I35:AG35)</f>
        <v>0</v>
      </c>
      <c r="AI35" s="315"/>
      <c r="AJ35" s="315"/>
      <c r="AK35" s="316"/>
      <c r="AS35" s="143"/>
      <c r="AT35" s="143"/>
      <c r="AU35" s="143"/>
      <c r="AV35" s="143"/>
    </row>
    <row r="36" spans="2:48" ht="15" thickBot="1" x14ac:dyDescent="0.35">
      <c r="B36" s="15"/>
      <c r="C36" s="111">
        <f>C18</f>
        <v>8</v>
      </c>
      <c r="D36" s="117">
        <f>W18</f>
        <v>0</v>
      </c>
      <c r="E36" s="117">
        <f t="shared" si="19"/>
        <v>0</v>
      </c>
      <c r="F36" s="117">
        <f t="shared" si="19"/>
        <v>0</v>
      </c>
      <c r="G36" s="112">
        <f t="shared" si="14"/>
        <v>0</v>
      </c>
      <c r="H36" s="118"/>
      <c r="I36" s="114">
        <f>IF($H18&gt;=25,$G36,IF(I$28&lt;=$H18,$G36,IF(I$28&lt;=($H18*($AD18+1)),$G36,0)))-IF(I$28-1&lt;=($H18*$AD18),$F36,0)*IF(OR($AE18=0,$AE18&gt;25),0,IF(MOD(I$28,$H18)=0,1,0))</f>
        <v>0</v>
      </c>
      <c r="J36" s="114">
        <f t="shared" ref="J36:AG36" si="22">IF($H18&gt;=25,$G36,IF(J$28&lt;=$H18,$G36,IF(J$28&lt;=($H18*($AD18+1)),$G36,0)))-IF(J$28-1&lt;=($H18*$AD18),$F36,0)*IF(OR($AE18=0,$AE18&gt;25),0,IF(MOD(J$28-1,$H18)=0,1,0))</f>
        <v>0</v>
      </c>
      <c r="K36" s="114">
        <f t="shared" si="22"/>
        <v>0</v>
      </c>
      <c r="L36" s="114">
        <f t="shared" si="22"/>
        <v>0</v>
      </c>
      <c r="M36" s="114">
        <f t="shared" si="22"/>
        <v>0</v>
      </c>
      <c r="N36" s="114">
        <f t="shared" si="22"/>
        <v>0</v>
      </c>
      <c r="O36" s="114">
        <f t="shared" si="22"/>
        <v>0</v>
      </c>
      <c r="P36" s="114">
        <f t="shared" si="22"/>
        <v>0</v>
      </c>
      <c r="Q36" s="114">
        <f t="shared" si="22"/>
        <v>0</v>
      </c>
      <c r="R36" s="114">
        <f t="shared" si="22"/>
        <v>0</v>
      </c>
      <c r="S36" s="114">
        <f t="shared" si="22"/>
        <v>0</v>
      </c>
      <c r="T36" s="114">
        <f t="shared" si="22"/>
        <v>0</v>
      </c>
      <c r="U36" s="114">
        <f t="shared" si="22"/>
        <v>0</v>
      </c>
      <c r="V36" s="114">
        <f t="shared" si="22"/>
        <v>0</v>
      </c>
      <c r="W36" s="114">
        <f t="shared" si="22"/>
        <v>0</v>
      </c>
      <c r="X36" s="114">
        <f t="shared" si="22"/>
        <v>0</v>
      </c>
      <c r="Y36" s="114">
        <f t="shared" si="22"/>
        <v>0</v>
      </c>
      <c r="Z36" s="114">
        <f t="shared" si="22"/>
        <v>0</v>
      </c>
      <c r="AA36" s="114">
        <f t="shared" si="22"/>
        <v>0</v>
      </c>
      <c r="AB36" s="114">
        <f t="shared" si="22"/>
        <v>0</v>
      </c>
      <c r="AC36" s="114">
        <f t="shared" si="22"/>
        <v>0</v>
      </c>
      <c r="AD36" s="114">
        <f t="shared" si="22"/>
        <v>0</v>
      </c>
      <c r="AE36" s="114">
        <f t="shared" si="22"/>
        <v>0</v>
      </c>
      <c r="AF36" s="114">
        <f t="shared" si="22"/>
        <v>0</v>
      </c>
      <c r="AG36" s="114">
        <f t="shared" si="22"/>
        <v>0</v>
      </c>
      <c r="AH36" s="115">
        <f t="shared" si="13"/>
        <v>0</v>
      </c>
      <c r="AI36" s="315"/>
      <c r="AJ36" s="315"/>
      <c r="AK36" s="316"/>
      <c r="AS36" s="143"/>
      <c r="AT36" s="143"/>
      <c r="AU36" s="143"/>
      <c r="AV36" s="143"/>
    </row>
    <row r="37" spans="2:48" ht="15" thickBot="1" x14ac:dyDescent="0.35">
      <c r="B37" s="15"/>
      <c r="C37" s="111">
        <f>C19</f>
        <v>9</v>
      </c>
      <c r="D37" s="117">
        <f>W19</f>
        <v>0</v>
      </c>
      <c r="E37" s="117">
        <f t="shared" si="19"/>
        <v>0</v>
      </c>
      <c r="F37" s="117">
        <f t="shared" si="19"/>
        <v>0</v>
      </c>
      <c r="G37" s="112">
        <f t="shared" si="14"/>
        <v>0</v>
      </c>
      <c r="H37" s="118"/>
      <c r="I37" s="114">
        <f>IF($H19&gt;=25,$G37,IF(I$28&lt;=$H19,$G37,IF(I$28&lt;=($H19*($AD19+1)),$G37,0)))-IF(I$28-1&lt;=($H19*$AD19),$F37,0)*IF(OR($AE19=0,$AE19&gt;25),0,IF(MOD(I$28,$H19)=0,1,0))</f>
        <v>0</v>
      </c>
      <c r="J37" s="114">
        <f t="shared" ref="J37:AG37" si="23">IF($H19&gt;=25,$G37,IF(J$28&lt;=$H19,$G37,IF(J$28&lt;=($H19*($AD19+1)),$G37,0)))-IF(J$28-1&lt;=($H19*$AD19),$F37,0)*IF(OR($AE19=0,$AE19&gt;25),0,IF(MOD(J$28-1,$H19)=0,1,0))</f>
        <v>0</v>
      </c>
      <c r="K37" s="114">
        <f t="shared" si="23"/>
        <v>0</v>
      </c>
      <c r="L37" s="114">
        <f t="shared" si="23"/>
        <v>0</v>
      </c>
      <c r="M37" s="114">
        <f t="shared" si="23"/>
        <v>0</v>
      </c>
      <c r="N37" s="114">
        <f t="shared" si="23"/>
        <v>0</v>
      </c>
      <c r="O37" s="114">
        <f t="shared" si="23"/>
        <v>0</v>
      </c>
      <c r="P37" s="114">
        <f t="shared" si="23"/>
        <v>0</v>
      </c>
      <c r="Q37" s="114">
        <f t="shared" si="23"/>
        <v>0</v>
      </c>
      <c r="R37" s="114">
        <f t="shared" si="23"/>
        <v>0</v>
      </c>
      <c r="S37" s="114">
        <f t="shared" si="23"/>
        <v>0</v>
      </c>
      <c r="T37" s="114">
        <f t="shared" si="23"/>
        <v>0</v>
      </c>
      <c r="U37" s="114">
        <f t="shared" si="23"/>
        <v>0</v>
      </c>
      <c r="V37" s="114">
        <f t="shared" si="23"/>
        <v>0</v>
      </c>
      <c r="W37" s="114">
        <f t="shared" si="23"/>
        <v>0</v>
      </c>
      <c r="X37" s="114">
        <f t="shared" si="23"/>
        <v>0</v>
      </c>
      <c r="Y37" s="114">
        <f t="shared" si="23"/>
        <v>0</v>
      </c>
      <c r="Z37" s="114">
        <f t="shared" si="23"/>
        <v>0</v>
      </c>
      <c r="AA37" s="114">
        <f t="shared" si="23"/>
        <v>0</v>
      </c>
      <c r="AB37" s="114">
        <f t="shared" si="23"/>
        <v>0</v>
      </c>
      <c r="AC37" s="114">
        <f t="shared" si="23"/>
        <v>0</v>
      </c>
      <c r="AD37" s="114">
        <f t="shared" si="23"/>
        <v>0</v>
      </c>
      <c r="AE37" s="114">
        <f t="shared" si="23"/>
        <v>0</v>
      </c>
      <c r="AF37" s="114">
        <f t="shared" si="23"/>
        <v>0</v>
      </c>
      <c r="AG37" s="114">
        <f t="shared" si="23"/>
        <v>0</v>
      </c>
      <c r="AH37" s="115">
        <f t="shared" si="13"/>
        <v>0</v>
      </c>
      <c r="AI37" s="170"/>
      <c r="AJ37" s="170"/>
      <c r="AK37" s="12"/>
      <c r="AS37" s="143"/>
      <c r="AT37" s="143"/>
      <c r="AU37" s="143"/>
      <c r="AV37" s="143"/>
    </row>
    <row r="38" spans="2:48" ht="15" thickBot="1" x14ac:dyDescent="0.35">
      <c r="B38" s="15"/>
      <c r="C38" s="111">
        <f>C20</f>
        <v>10</v>
      </c>
      <c r="D38" s="117">
        <f>W20</f>
        <v>0</v>
      </c>
      <c r="E38" s="117">
        <f t="shared" si="19"/>
        <v>0</v>
      </c>
      <c r="F38" s="117">
        <f t="shared" si="19"/>
        <v>0</v>
      </c>
      <c r="G38" s="112">
        <f t="shared" si="14"/>
        <v>0</v>
      </c>
      <c r="H38" s="118"/>
      <c r="I38" s="114">
        <f>IF($H20&gt;=25,$G38,IF(I$28&lt;=$H20,$G38,IF(I$28&lt;=($H20*($AD20+1)),$G38,0)))-IF(I$28-1&lt;=($H20*$AD20),$F38,0)*IF(OR($AE20=0,$AE20&gt;25),0,IF(MOD(I$28,$H20)=0,1,0))</f>
        <v>0</v>
      </c>
      <c r="J38" s="114">
        <f t="shared" ref="J38:AG38" si="24">IF($H20&gt;=25,$G38,IF(J$28&lt;=$H20,$G38,IF(J$28&lt;=($H20*($AD20+1)),$G38,0)))-IF(J$28-1&lt;=($H20*$AD20),$F38,0)*IF(OR($AE20=0,$AE20&gt;25),0,IF(MOD(J$28-1,$H20)=0,1,0))</f>
        <v>0</v>
      </c>
      <c r="K38" s="114">
        <f t="shared" si="24"/>
        <v>0</v>
      </c>
      <c r="L38" s="114">
        <f t="shared" si="24"/>
        <v>0</v>
      </c>
      <c r="M38" s="114">
        <f t="shared" si="24"/>
        <v>0</v>
      </c>
      <c r="N38" s="114">
        <f t="shared" si="24"/>
        <v>0</v>
      </c>
      <c r="O38" s="114">
        <f t="shared" si="24"/>
        <v>0</v>
      </c>
      <c r="P38" s="114">
        <f t="shared" si="24"/>
        <v>0</v>
      </c>
      <c r="Q38" s="114">
        <f t="shared" si="24"/>
        <v>0</v>
      </c>
      <c r="R38" s="114">
        <f t="shared" si="24"/>
        <v>0</v>
      </c>
      <c r="S38" s="114">
        <f t="shared" si="24"/>
        <v>0</v>
      </c>
      <c r="T38" s="114">
        <f t="shared" si="24"/>
        <v>0</v>
      </c>
      <c r="U38" s="114">
        <f t="shared" si="24"/>
        <v>0</v>
      </c>
      <c r="V38" s="114">
        <f t="shared" si="24"/>
        <v>0</v>
      </c>
      <c r="W38" s="114">
        <f t="shared" si="24"/>
        <v>0</v>
      </c>
      <c r="X38" s="114">
        <f t="shared" si="24"/>
        <v>0</v>
      </c>
      <c r="Y38" s="114">
        <f t="shared" si="24"/>
        <v>0</v>
      </c>
      <c r="Z38" s="114">
        <f t="shared" si="24"/>
        <v>0</v>
      </c>
      <c r="AA38" s="114">
        <f t="shared" si="24"/>
        <v>0</v>
      </c>
      <c r="AB38" s="114">
        <f t="shared" si="24"/>
        <v>0</v>
      </c>
      <c r="AC38" s="114">
        <f t="shared" si="24"/>
        <v>0</v>
      </c>
      <c r="AD38" s="114">
        <f t="shared" si="24"/>
        <v>0</v>
      </c>
      <c r="AE38" s="114">
        <f t="shared" si="24"/>
        <v>0</v>
      </c>
      <c r="AF38" s="114">
        <f t="shared" si="24"/>
        <v>0</v>
      </c>
      <c r="AG38" s="114">
        <f t="shared" si="24"/>
        <v>0</v>
      </c>
      <c r="AH38" s="115">
        <f t="shared" si="13"/>
        <v>0</v>
      </c>
      <c r="AI38" s="170"/>
      <c r="AJ38" s="170"/>
      <c r="AK38" s="12"/>
      <c r="AS38" s="143"/>
      <c r="AT38" s="143"/>
      <c r="AU38" s="143"/>
      <c r="AV38" s="143"/>
    </row>
    <row r="39" spans="2:48" ht="15" thickBot="1" x14ac:dyDescent="0.35">
      <c r="B39" s="15"/>
      <c r="C39" s="111"/>
      <c r="D39" s="119"/>
      <c r="E39" s="119"/>
      <c r="F39" s="119"/>
      <c r="G39" s="116"/>
      <c r="H39" s="120" t="s">
        <v>54</v>
      </c>
      <c r="I39" s="121">
        <f>SUM(I29:I38)</f>
        <v>0</v>
      </c>
      <c r="J39" s="121">
        <f t="shared" ref="J39:AH39" si="25">SUM(J29:J38)</f>
        <v>0</v>
      </c>
      <c r="K39" s="121">
        <f t="shared" si="25"/>
        <v>0</v>
      </c>
      <c r="L39" s="121">
        <f t="shared" si="25"/>
        <v>0</v>
      </c>
      <c r="M39" s="121">
        <f t="shared" si="25"/>
        <v>0</v>
      </c>
      <c r="N39" s="121">
        <f t="shared" si="25"/>
        <v>0</v>
      </c>
      <c r="O39" s="121">
        <f t="shared" si="25"/>
        <v>0</v>
      </c>
      <c r="P39" s="121">
        <f t="shared" si="25"/>
        <v>0</v>
      </c>
      <c r="Q39" s="121">
        <f t="shared" si="25"/>
        <v>0</v>
      </c>
      <c r="R39" s="121">
        <f t="shared" si="25"/>
        <v>0</v>
      </c>
      <c r="S39" s="121">
        <f t="shared" si="25"/>
        <v>0</v>
      </c>
      <c r="T39" s="121">
        <f t="shared" si="25"/>
        <v>0</v>
      </c>
      <c r="U39" s="121">
        <f t="shared" si="25"/>
        <v>0</v>
      </c>
      <c r="V39" s="121">
        <f t="shared" si="25"/>
        <v>0</v>
      </c>
      <c r="W39" s="121">
        <f t="shared" si="25"/>
        <v>0</v>
      </c>
      <c r="X39" s="121">
        <f t="shared" si="25"/>
        <v>0</v>
      </c>
      <c r="Y39" s="121">
        <f t="shared" si="25"/>
        <v>0</v>
      </c>
      <c r="Z39" s="121">
        <f t="shared" si="25"/>
        <v>0</v>
      </c>
      <c r="AA39" s="121">
        <f t="shared" si="25"/>
        <v>0</v>
      </c>
      <c r="AB39" s="121">
        <f t="shared" si="25"/>
        <v>0</v>
      </c>
      <c r="AC39" s="121">
        <f t="shared" si="25"/>
        <v>0</v>
      </c>
      <c r="AD39" s="121">
        <f t="shared" si="25"/>
        <v>0</v>
      </c>
      <c r="AE39" s="121">
        <f t="shared" si="25"/>
        <v>0</v>
      </c>
      <c r="AF39" s="121">
        <f t="shared" si="25"/>
        <v>0</v>
      </c>
      <c r="AG39" s="121">
        <f t="shared" si="25"/>
        <v>0</v>
      </c>
      <c r="AH39" s="122">
        <f t="shared" si="25"/>
        <v>0</v>
      </c>
      <c r="AI39" s="170"/>
      <c r="AJ39" s="170"/>
      <c r="AK39" s="12"/>
      <c r="AS39" s="143"/>
      <c r="AT39" s="143"/>
      <c r="AU39" s="143"/>
      <c r="AV39" s="143"/>
    </row>
    <row r="40" spans="2:48" ht="15" thickBot="1" x14ac:dyDescent="0.35">
      <c r="B40" s="15"/>
      <c r="C40" s="111"/>
      <c r="D40" s="123"/>
      <c r="E40" s="123"/>
      <c r="F40" s="123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24"/>
      <c r="AI40" s="170"/>
      <c r="AJ40" s="170"/>
      <c r="AK40" s="12"/>
      <c r="AS40" s="143"/>
      <c r="AT40" s="143"/>
      <c r="AU40" s="143"/>
      <c r="AV40" s="143"/>
    </row>
    <row r="41" spans="2:48" ht="28.5" customHeight="1" thickBot="1" x14ac:dyDescent="0.35">
      <c r="B41" s="15"/>
      <c r="C41" s="107" t="s">
        <v>52</v>
      </c>
      <c r="D41" s="125" t="s">
        <v>191</v>
      </c>
      <c r="E41" s="126"/>
      <c r="F41" s="126"/>
      <c r="G41" s="971" t="s">
        <v>192</v>
      </c>
      <c r="H41" s="971"/>
      <c r="I41" s="109">
        <v>1</v>
      </c>
      <c r="J41" s="109">
        <v>2</v>
      </c>
      <c r="K41" s="109">
        <v>3</v>
      </c>
      <c r="L41" s="109">
        <v>4</v>
      </c>
      <c r="M41" s="109">
        <v>5</v>
      </c>
      <c r="N41" s="109">
        <v>6</v>
      </c>
      <c r="O41" s="109">
        <v>7</v>
      </c>
      <c r="P41" s="109">
        <v>8</v>
      </c>
      <c r="Q41" s="109">
        <v>9</v>
      </c>
      <c r="R41" s="109">
        <v>10</v>
      </c>
      <c r="S41" s="109">
        <v>11</v>
      </c>
      <c r="T41" s="109">
        <v>12</v>
      </c>
      <c r="U41" s="109">
        <v>13</v>
      </c>
      <c r="V41" s="109">
        <v>14</v>
      </c>
      <c r="W41" s="109">
        <v>15</v>
      </c>
      <c r="X41" s="109">
        <v>16</v>
      </c>
      <c r="Y41" s="109">
        <v>17</v>
      </c>
      <c r="Z41" s="109">
        <v>18</v>
      </c>
      <c r="AA41" s="109">
        <v>19</v>
      </c>
      <c r="AB41" s="109">
        <v>20</v>
      </c>
      <c r="AC41" s="109">
        <v>21</v>
      </c>
      <c r="AD41" s="109">
        <v>22</v>
      </c>
      <c r="AE41" s="109">
        <v>23</v>
      </c>
      <c r="AF41" s="109">
        <v>24</v>
      </c>
      <c r="AG41" s="109">
        <v>25</v>
      </c>
      <c r="AH41" s="110" t="s">
        <v>53</v>
      </c>
      <c r="AI41" s="170"/>
      <c r="AJ41" s="170"/>
      <c r="AK41" s="12"/>
      <c r="AS41" s="143"/>
      <c r="AT41" s="143"/>
      <c r="AU41" s="143"/>
      <c r="AV41" s="143"/>
    </row>
    <row r="42" spans="2:48" ht="15" thickBot="1" x14ac:dyDescent="0.35">
      <c r="B42" s="15"/>
      <c r="C42" s="127">
        <f t="shared" ref="C42:C51" si="26">C29</f>
        <v>1</v>
      </c>
      <c r="D42" s="422">
        <f>V10</f>
        <v>0</v>
      </c>
      <c r="E42" s="423"/>
      <c r="F42" s="423"/>
      <c r="G42" s="422">
        <f>IF(D42="","",D42-E42-F42)</f>
        <v>0</v>
      </c>
      <c r="H42" s="424"/>
      <c r="I42" s="417">
        <f t="shared" ref="I42:AG42" si="27">IF($H10&gt;=25,$G42,IF(I$41&lt;=$H10,$G42,IF(I$41&lt;=($H10*($AD10+1)),$G42,0)))</f>
        <v>0</v>
      </c>
      <c r="J42" s="417">
        <f t="shared" si="27"/>
        <v>0</v>
      </c>
      <c r="K42" s="417">
        <f t="shared" si="27"/>
        <v>0</v>
      </c>
      <c r="L42" s="417">
        <f t="shared" si="27"/>
        <v>0</v>
      </c>
      <c r="M42" s="417">
        <f t="shared" si="27"/>
        <v>0</v>
      </c>
      <c r="N42" s="417">
        <f t="shared" si="27"/>
        <v>0</v>
      </c>
      <c r="O42" s="417">
        <f t="shared" si="27"/>
        <v>0</v>
      </c>
      <c r="P42" s="417">
        <f t="shared" si="27"/>
        <v>0</v>
      </c>
      <c r="Q42" s="417">
        <f t="shared" si="27"/>
        <v>0</v>
      </c>
      <c r="R42" s="417">
        <f t="shared" si="27"/>
        <v>0</v>
      </c>
      <c r="S42" s="417">
        <f t="shared" si="27"/>
        <v>0</v>
      </c>
      <c r="T42" s="417">
        <f t="shared" si="27"/>
        <v>0</v>
      </c>
      <c r="U42" s="417">
        <f t="shared" si="27"/>
        <v>0</v>
      </c>
      <c r="V42" s="417">
        <f t="shared" si="27"/>
        <v>0</v>
      </c>
      <c r="W42" s="417">
        <f t="shared" si="27"/>
        <v>0</v>
      </c>
      <c r="X42" s="417">
        <f t="shared" si="27"/>
        <v>0</v>
      </c>
      <c r="Y42" s="417">
        <f t="shared" si="27"/>
        <v>0</v>
      </c>
      <c r="Z42" s="417">
        <f t="shared" si="27"/>
        <v>0</v>
      </c>
      <c r="AA42" s="417">
        <f t="shared" si="27"/>
        <v>0</v>
      </c>
      <c r="AB42" s="417">
        <f t="shared" si="27"/>
        <v>0</v>
      </c>
      <c r="AC42" s="417">
        <f t="shared" si="27"/>
        <v>0</v>
      </c>
      <c r="AD42" s="417">
        <f t="shared" si="27"/>
        <v>0</v>
      </c>
      <c r="AE42" s="417">
        <f t="shared" si="27"/>
        <v>0</v>
      </c>
      <c r="AF42" s="417">
        <f t="shared" si="27"/>
        <v>0</v>
      </c>
      <c r="AG42" s="417">
        <f t="shared" si="27"/>
        <v>0</v>
      </c>
      <c r="AH42" s="418">
        <f t="shared" ref="AH42:AH50" si="28">SUM(I42:AG42)</f>
        <v>0</v>
      </c>
      <c r="AI42" s="170"/>
      <c r="AJ42" s="170"/>
      <c r="AK42" s="12"/>
      <c r="AS42" s="143"/>
      <c r="AT42" s="143"/>
      <c r="AU42" s="143"/>
      <c r="AV42" s="143"/>
    </row>
    <row r="43" spans="2:48" ht="15" thickBot="1" x14ac:dyDescent="0.35">
      <c r="B43" s="15"/>
      <c r="C43" s="127">
        <f t="shared" si="26"/>
        <v>2</v>
      </c>
      <c r="D43" s="422">
        <f>V11</f>
        <v>0</v>
      </c>
      <c r="E43" s="423"/>
      <c r="F43" s="423"/>
      <c r="G43" s="422">
        <f t="shared" ref="G43:G51" si="29">IF(D43="","",D43-E43-F43)</f>
        <v>0</v>
      </c>
      <c r="H43" s="424"/>
      <c r="I43" s="417">
        <f t="shared" ref="I43:AG43" si="30">IF($H11&gt;=25,$G43,IF(I$41&lt;=$H11,$G43,IF(I$41&lt;=($H11*($AD11+1)),$G43,0)))</f>
        <v>0</v>
      </c>
      <c r="J43" s="417">
        <f t="shared" si="30"/>
        <v>0</v>
      </c>
      <c r="K43" s="417">
        <f t="shared" si="30"/>
        <v>0</v>
      </c>
      <c r="L43" s="417">
        <f t="shared" si="30"/>
        <v>0</v>
      </c>
      <c r="M43" s="417">
        <f t="shared" si="30"/>
        <v>0</v>
      </c>
      <c r="N43" s="417">
        <f t="shared" si="30"/>
        <v>0</v>
      </c>
      <c r="O43" s="417">
        <f t="shared" si="30"/>
        <v>0</v>
      </c>
      <c r="P43" s="417">
        <f t="shared" si="30"/>
        <v>0</v>
      </c>
      <c r="Q43" s="417">
        <f t="shared" si="30"/>
        <v>0</v>
      </c>
      <c r="R43" s="417">
        <f t="shared" si="30"/>
        <v>0</v>
      </c>
      <c r="S43" s="417">
        <f t="shared" si="30"/>
        <v>0</v>
      </c>
      <c r="T43" s="417">
        <f t="shared" si="30"/>
        <v>0</v>
      </c>
      <c r="U43" s="417">
        <f t="shared" si="30"/>
        <v>0</v>
      </c>
      <c r="V43" s="417">
        <f t="shared" si="30"/>
        <v>0</v>
      </c>
      <c r="W43" s="417">
        <f t="shared" si="30"/>
        <v>0</v>
      </c>
      <c r="X43" s="417">
        <f t="shared" si="30"/>
        <v>0</v>
      </c>
      <c r="Y43" s="417">
        <f t="shared" si="30"/>
        <v>0</v>
      </c>
      <c r="Z43" s="417">
        <f t="shared" si="30"/>
        <v>0</v>
      </c>
      <c r="AA43" s="417">
        <f t="shared" si="30"/>
        <v>0</v>
      </c>
      <c r="AB43" s="417">
        <f t="shared" si="30"/>
        <v>0</v>
      </c>
      <c r="AC43" s="417">
        <f t="shared" si="30"/>
        <v>0</v>
      </c>
      <c r="AD43" s="417">
        <f t="shared" si="30"/>
        <v>0</v>
      </c>
      <c r="AE43" s="417">
        <f t="shared" si="30"/>
        <v>0</v>
      </c>
      <c r="AF43" s="417">
        <f t="shared" si="30"/>
        <v>0</v>
      </c>
      <c r="AG43" s="417">
        <f t="shared" si="30"/>
        <v>0</v>
      </c>
      <c r="AH43" s="418">
        <f t="shared" si="28"/>
        <v>0</v>
      </c>
      <c r="AI43" s="170"/>
      <c r="AJ43" s="170"/>
      <c r="AK43" s="12"/>
      <c r="AS43" s="143"/>
      <c r="AT43" s="143"/>
      <c r="AU43" s="143"/>
      <c r="AV43" s="143"/>
    </row>
    <row r="44" spans="2:48" ht="15" thickBot="1" x14ac:dyDescent="0.35">
      <c r="B44" s="15"/>
      <c r="C44" s="127">
        <f t="shared" si="26"/>
        <v>3</v>
      </c>
      <c r="D44" s="422">
        <f>V12</f>
        <v>0</v>
      </c>
      <c r="E44" s="423"/>
      <c r="F44" s="423"/>
      <c r="G44" s="422">
        <f t="shared" si="29"/>
        <v>0</v>
      </c>
      <c r="H44" s="424"/>
      <c r="I44" s="417">
        <f t="shared" ref="I44:AG44" si="31">IF($H12&gt;=25,$G44,IF(I$41&lt;=$H12,$G44,IF(I$41&lt;=($H12*($AD12+1)),$G44,0)))</f>
        <v>0</v>
      </c>
      <c r="J44" s="417">
        <f t="shared" si="31"/>
        <v>0</v>
      </c>
      <c r="K44" s="417">
        <f t="shared" si="31"/>
        <v>0</v>
      </c>
      <c r="L44" s="417">
        <f t="shared" si="31"/>
        <v>0</v>
      </c>
      <c r="M44" s="417">
        <f t="shared" si="31"/>
        <v>0</v>
      </c>
      <c r="N44" s="417">
        <f t="shared" si="31"/>
        <v>0</v>
      </c>
      <c r="O44" s="417">
        <f t="shared" si="31"/>
        <v>0</v>
      </c>
      <c r="P44" s="417">
        <f t="shared" si="31"/>
        <v>0</v>
      </c>
      <c r="Q44" s="417">
        <f t="shared" si="31"/>
        <v>0</v>
      </c>
      <c r="R44" s="417">
        <f t="shared" si="31"/>
        <v>0</v>
      </c>
      <c r="S44" s="417">
        <f t="shared" si="31"/>
        <v>0</v>
      </c>
      <c r="T44" s="417">
        <f t="shared" si="31"/>
        <v>0</v>
      </c>
      <c r="U44" s="417">
        <f t="shared" si="31"/>
        <v>0</v>
      </c>
      <c r="V44" s="417">
        <f t="shared" si="31"/>
        <v>0</v>
      </c>
      <c r="W44" s="417">
        <f t="shared" si="31"/>
        <v>0</v>
      </c>
      <c r="X44" s="417">
        <f t="shared" si="31"/>
        <v>0</v>
      </c>
      <c r="Y44" s="417">
        <f t="shared" si="31"/>
        <v>0</v>
      </c>
      <c r="Z44" s="417">
        <f t="shared" si="31"/>
        <v>0</v>
      </c>
      <c r="AA44" s="417">
        <f t="shared" si="31"/>
        <v>0</v>
      </c>
      <c r="AB44" s="417">
        <f t="shared" si="31"/>
        <v>0</v>
      </c>
      <c r="AC44" s="417">
        <f t="shared" si="31"/>
        <v>0</v>
      </c>
      <c r="AD44" s="417">
        <f t="shared" si="31"/>
        <v>0</v>
      </c>
      <c r="AE44" s="417">
        <f t="shared" si="31"/>
        <v>0</v>
      </c>
      <c r="AF44" s="417">
        <f t="shared" si="31"/>
        <v>0</v>
      </c>
      <c r="AG44" s="417">
        <f t="shared" si="31"/>
        <v>0</v>
      </c>
      <c r="AH44" s="418">
        <f t="shared" si="28"/>
        <v>0</v>
      </c>
      <c r="AI44" s="170"/>
      <c r="AJ44" s="170"/>
      <c r="AK44" s="12"/>
      <c r="AS44" s="143"/>
      <c r="AT44" s="143"/>
      <c r="AU44" s="143"/>
      <c r="AV44" s="143"/>
    </row>
    <row r="45" spans="2:48" ht="15" thickBot="1" x14ac:dyDescent="0.35">
      <c r="B45" s="15"/>
      <c r="C45" s="127">
        <f t="shared" si="26"/>
        <v>4</v>
      </c>
      <c r="D45" s="422">
        <f>V13</f>
        <v>0</v>
      </c>
      <c r="E45" s="423"/>
      <c r="F45" s="423"/>
      <c r="G45" s="422">
        <f t="shared" si="29"/>
        <v>0</v>
      </c>
      <c r="H45" s="424"/>
      <c r="I45" s="417">
        <f t="shared" ref="I45:AG45" si="32">IF($H13&gt;=25,$G45,IF(I$41&lt;=$H13,$G45,IF(I$41&lt;=($H13*($AD13+1)),$G45,0)))</f>
        <v>0</v>
      </c>
      <c r="J45" s="417">
        <f t="shared" si="32"/>
        <v>0</v>
      </c>
      <c r="K45" s="417">
        <f t="shared" si="32"/>
        <v>0</v>
      </c>
      <c r="L45" s="417">
        <f t="shared" si="32"/>
        <v>0</v>
      </c>
      <c r="M45" s="417">
        <f t="shared" si="32"/>
        <v>0</v>
      </c>
      <c r="N45" s="417">
        <f t="shared" si="32"/>
        <v>0</v>
      </c>
      <c r="O45" s="417">
        <f t="shared" si="32"/>
        <v>0</v>
      </c>
      <c r="P45" s="417">
        <f t="shared" si="32"/>
        <v>0</v>
      </c>
      <c r="Q45" s="417">
        <f t="shared" si="32"/>
        <v>0</v>
      </c>
      <c r="R45" s="417">
        <f t="shared" si="32"/>
        <v>0</v>
      </c>
      <c r="S45" s="417">
        <f t="shared" si="32"/>
        <v>0</v>
      </c>
      <c r="T45" s="417">
        <f t="shared" si="32"/>
        <v>0</v>
      </c>
      <c r="U45" s="417">
        <f t="shared" si="32"/>
        <v>0</v>
      </c>
      <c r="V45" s="417">
        <f t="shared" si="32"/>
        <v>0</v>
      </c>
      <c r="W45" s="417">
        <f t="shared" si="32"/>
        <v>0</v>
      </c>
      <c r="X45" s="417">
        <f t="shared" si="32"/>
        <v>0</v>
      </c>
      <c r="Y45" s="417">
        <f t="shared" si="32"/>
        <v>0</v>
      </c>
      <c r="Z45" s="417">
        <f t="shared" si="32"/>
        <v>0</v>
      </c>
      <c r="AA45" s="417">
        <f t="shared" si="32"/>
        <v>0</v>
      </c>
      <c r="AB45" s="417">
        <f t="shared" si="32"/>
        <v>0</v>
      </c>
      <c r="AC45" s="417">
        <f t="shared" si="32"/>
        <v>0</v>
      </c>
      <c r="AD45" s="417">
        <f t="shared" si="32"/>
        <v>0</v>
      </c>
      <c r="AE45" s="417">
        <f t="shared" si="32"/>
        <v>0</v>
      </c>
      <c r="AF45" s="417">
        <f t="shared" si="32"/>
        <v>0</v>
      </c>
      <c r="AG45" s="417">
        <f t="shared" si="32"/>
        <v>0</v>
      </c>
      <c r="AH45" s="418">
        <f t="shared" si="28"/>
        <v>0</v>
      </c>
      <c r="AI45" s="170"/>
      <c r="AJ45" s="170"/>
      <c r="AK45" s="12"/>
    </row>
    <row r="46" spans="2:48" ht="15" thickBot="1" x14ac:dyDescent="0.35">
      <c r="B46" s="15"/>
      <c r="C46" s="129">
        <f t="shared" si="26"/>
        <v>5</v>
      </c>
      <c r="D46" s="422">
        <f>V14</f>
        <v>0</v>
      </c>
      <c r="E46" s="423"/>
      <c r="F46" s="423"/>
      <c r="G46" s="422">
        <f t="shared" si="29"/>
        <v>0</v>
      </c>
      <c r="H46" s="424"/>
      <c r="I46" s="417">
        <f t="shared" ref="I46:AG46" si="33">IF($H14&gt;=25,$G46,IF(I$41&lt;=$H14,$G46,IF(I$41&lt;=($H14*($AD14+1)),$G46,0)))</f>
        <v>0</v>
      </c>
      <c r="J46" s="417">
        <f t="shared" si="33"/>
        <v>0</v>
      </c>
      <c r="K46" s="417">
        <f t="shared" si="33"/>
        <v>0</v>
      </c>
      <c r="L46" s="417">
        <f t="shared" si="33"/>
        <v>0</v>
      </c>
      <c r="M46" s="417">
        <f t="shared" si="33"/>
        <v>0</v>
      </c>
      <c r="N46" s="417">
        <f t="shared" si="33"/>
        <v>0</v>
      </c>
      <c r="O46" s="417">
        <f t="shared" si="33"/>
        <v>0</v>
      </c>
      <c r="P46" s="417">
        <f t="shared" si="33"/>
        <v>0</v>
      </c>
      <c r="Q46" s="417">
        <f t="shared" si="33"/>
        <v>0</v>
      </c>
      <c r="R46" s="417">
        <f t="shared" si="33"/>
        <v>0</v>
      </c>
      <c r="S46" s="417">
        <f t="shared" si="33"/>
        <v>0</v>
      </c>
      <c r="T46" s="417">
        <f t="shared" si="33"/>
        <v>0</v>
      </c>
      <c r="U46" s="417">
        <f t="shared" si="33"/>
        <v>0</v>
      </c>
      <c r="V46" s="417">
        <f t="shared" si="33"/>
        <v>0</v>
      </c>
      <c r="W46" s="417">
        <f t="shared" si="33"/>
        <v>0</v>
      </c>
      <c r="X46" s="417">
        <f t="shared" si="33"/>
        <v>0</v>
      </c>
      <c r="Y46" s="417">
        <f t="shared" si="33"/>
        <v>0</v>
      </c>
      <c r="Z46" s="417">
        <f t="shared" si="33"/>
        <v>0</v>
      </c>
      <c r="AA46" s="417">
        <f t="shared" si="33"/>
        <v>0</v>
      </c>
      <c r="AB46" s="417">
        <f t="shared" si="33"/>
        <v>0</v>
      </c>
      <c r="AC46" s="417">
        <f t="shared" si="33"/>
        <v>0</v>
      </c>
      <c r="AD46" s="417">
        <f t="shared" si="33"/>
        <v>0</v>
      </c>
      <c r="AE46" s="417">
        <f t="shared" si="33"/>
        <v>0</v>
      </c>
      <c r="AF46" s="417">
        <f t="shared" si="33"/>
        <v>0</v>
      </c>
      <c r="AG46" s="417">
        <f t="shared" si="33"/>
        <v>0</v>
      </c>
      <c r="AH46" s="418">
        <f t="shared" si="28"/>
        <v>0</v>
      </c>
      <c r="AI46" s="170"/>
      <c r="AJ46" s="170"/>
      <c r="AK46" s="12"/>
    </row>
    <row r="47" spans="2:48" ht="15" thickBot="1" x14ac:dyDescent="0.35">
      <c r="B47" s="15"/>
      <c r="C47" s="129">
        <f t="shared" si="26"/>
        <v>6</v>
      </c>
      <c r="D47" s="422">
        <f>V16</f>
        <v>0</v>
      </c>
      <c r="E47" s="425"/>
      <c r="F47" s="425"/>
      <c r="G47" s="422">
        <f t="shared" si="29"/>
        <v>0</v>
      </c>
      <c r="H47" s="426"/>
      <c r="I47" s="417">
        <f t="shared" ref="I47:AG47" si="34">IF($H16&gt;=25,$G47,IF(I$41&lt;=$H16,$G47,IF(I$41&lt;=($H16*($AD16+1)),$G47,0)))</f>
        <v>0</v>
      </c>
      <c r="J47" s="417">
        <f t="shared" si="34"/>
        <v>0</v>
      </c>
      <c r="K47" s="417">
        <f t="shared" si="34"/>
        <v>0</v>
      </c>
      <c r="L47" s="417">
        <f t="shared" si="34"/>
        <v>0</v>
      </c>
      <c r="M47" s="417">
        <f t="shared" si="34"/>
        <v>0</v>
      </c>
      <c r="N47" s="417">
        <f t="shared" si="34"/>
        <v>0</v>
      </c>
      <c r="O47" s="417">
        <f t="shared" si="34"/>
        <v>0</v>
      </c>
      <c r="P47" s="417">
        <f t="shared" si="34"/>
        <v>0</v>
      </c>
      <c r="Q47" s="417">
        <f t="shared" si="34"/>
        <v>0</v>
      </c>
      <c r="R47" s="417">
        <f t="shared" si="34"/>
        <v>0</v>
      </c>
      <c r="S47" s="417">
        <f t="shared" si="34"/>
        <v>0</v>
      </c>
      <c r="T47" s="417">
        <f t="shared" si="34"/>
        <v>0</v>
      </c>
      <c r="U47" s="417">
        <f t="shared" si="34"/>
        <v>0</v>
      </c>
      <c r="V47" s="417">
        <f t="shared" si="34"/>
        <v>0</v>
      </c>
      <c r="W47" s="417">
        <f t="shared" si="34"/>
        <v>0</v>
      </c>
      <c r="X47" s="417">
        <f t="shared" si="34"/>
        <v>0</v>
      </c>
      <c r="Y47" s="417">
        <f t="shared" si="34"/>
        <v>0</v>
      </c>
      <c r="Z47" s="417">
        <f t="shared" si="34"/>
        <v>0</v>
      </c>
      <c r="AA47" s="417">
        <f t="shared" si="34"/>
        <v>0</v>
      </c>
      <c r="AB47" s="417">
        <f t="shared" si="34"/>
        <v>0</v>
      </c>
      <c r="AC47" s="417">
        <f t="shared" si="34"/>
        <v>0</v>
      </c>
      <c r="AD47" s="417">
        <f t="shared" si="34"/>
        <v>0</v>
      </c>
      <c r="AE47" s="417">
        <f t="shared" si="34"/>
        <v>0</v>
      </c>
      <c r="AF47" s="417">
        <f t="shared" si="34"/>
        <v>0</v>
      </c>
      <c r="AG47" s="417">
        <f t="shared" si="34"/>
        <v>0</v>
      </c>
      <c r="AH47" s="418">
        <f t="shared" si="28"/>
        <v>0</v>
      </c>
      <c r="AI47" s="170"/>
      <c r="AJ47" s="170"/>
      <c r="AK47" s="12"/>
    </row>
    <row r="48" spans="2:48" ht="15" thickBot="1" x14ac:dyDescent="0.35">
      <c r="B48" s="15"/>
      <c r="C48" s="129">
        <f t="shared" si="26"/>
        <v>7</v>
      </c>
      <c r="D48" s="422">
        <f>V17</f>
        <v>0</v>
      </c>
      <c r="E48" s="425"/>
      <c r="F48" s="425"/>
      <c r="G48" s="422">
        <f t="shared" si="29"/>
        <v>0</v>
      </c>
      <c r="H48" s="426"/>
      <c r="I48" s="417">
        <f t="shared" ref="I48:AG48" si="35">IF($H17&gt;=25,$G48,IF(I$41&lt;=$H17,$G48,IF(I$41&lt;=($H17*($AD17+1)),$G48,0)))</f>
        <v>0</v>
      </c>
      <c r="J48" s="417">
        <f t="shared" si="35"/>
        <v>0</v>
      </c>
      <c r="K48" s="417">
        <f t="shared" si="35"/>
        <v>0</v>
      </c>
      <c r="L48" s="417">
        <f t="shared" si="35"/>
        <v>0</v>
      </c>
      <c r="M48" s="417">
        <f t="shared" si="35"/>
        <v>0</v>
      </c>
      <c r="N48" s="417">
        <f t="shared" si="35"/>
        <v>0</v>
      </c>
      <c r="O48" s="417">
        <f t="shared" si="35"/>
        <v>0</v>
      </c>
      <c r="P48" s="417">
        <f t="shared" si="35"/>
        <v>0</v>
      </c>
      <c r="Q48" s="417">
        <f t="shared" si="35"/>
        <v>0</v>
      </c>
      <c r="R48" s="417">
        <f t="shared" si="35"/>
        <v>0</v>
      </c>
      <c r="S48" s="417">
        <f t="shared" si="35"/>
        <v>0</v>
      </c>
      <c r="T48" s="417">
        <f t="shared" si="35"/>
        <v>0</v>
      </c>
      <c r="U48" s="417">
        <f t="shared" si="35"/>
        <v>0</v>
      </c>
      <c r="V48" s="417">
        <f t="shared" si="35"/>
        <v>0</v>
      </c>
      <c r="W48" s="417">
        <f t="shared" si="35"/>
        <v>0</v>
      </c>
      <c r="X48" s="417">
        <f t="shared" si="35"/>
        <v>0</v>
      </c>
      <c r="Y48" s="417">
        <f t="shared" si="35"/>
        <v>0</v>
      </c>
      <c r="Z48" s="417">
        <f t="shared" si="35"/>
        <v>0</v>
      </c>
      <c r="AA48" s="417">
        <f t="shared" si="35"/>
        <v>0</v>
      </c>
      <c r="AB48" s="417">
        <f t="shared" si="35"/>
        <v>0</v>
      </c>
      <c r="AC48" s="417">
        <f t="shared" si="35"/>
        <v>0</v>
      </c>
      <c r="AD48" s="417">
        <f t="shared" si="35"/>
        <v>0</v>
      </c>
      <c r="AE48" s="417">
        <f t="shared" si="35"/>
        <v>0</v>
      </c>
      <c r="AF48" s="417">
        <f t="shared" si="35"/>
        <v>0</v>
      </c>
      <c r="AG48" s="417">
        <f t="shared" si="35"/>
        <v>0</v>
      </c>
      <c r="AH48" s="418">
        <f t="shared" si="28"/>
        <v>0</v>
      </c>
      <c r="AI48" s="170"/>
      <c r="AJ48" s="170"/>
      <c r="AK48" s="12"/>
    </row>
    <row r="49" spans="2:37" ht="15" thickBot="1" x14ac:dyDescent="0.35">
      <c r="B49" s="15"/>
      <c r="C49" s="129">
        <f t="shared" si="26"/>
        <v>8</v>
      </c>
      <c r="D49" s="422">
        <f>V18</f>
        <v>0</v>
      </c>
      <c r="E49" s="425"/>
      <c r="F49" s="425"/>
      <c r="G49" s="422">
        <f t="shared" si="29"/>
        <v>0</v>
      </c>
      <c r="H49" s="426"/>
      <c r="I49" s="417">
        <f t="shared" ref="I49:AG49" si="36">IF($H18&gt;=25,$G49,IF(I$41&lt;=$H18,$G49,IF(I$41&lt;=($H18*($AD18+1)),$G49,0)))</f>
        <v>0</v>
      </c>
      <c r="J49" s="417">
        <f t="shared" si="36"/>
        <v>0</v>
      </c>
      <c r="K49" s="417">
        <f t="shared" si="36"/>
        <v>0</v>
      </c>
      <c r="L49" s="417">
        <f t="shared" si="36"/>
        <v>0</v>
      </c>
      <c r="M49" s="417">
        <f t="shared" si="36"/>
        <v>0</v>
      </c>
      <c r="N49" s="417">
        <f t="shared" si="36"/>
        <v>0</v>
      </c>
      <c r="O49" s="417">
        <f t="shared" si="36"/>
        <v>0</v>
      </c>
      <c r="P49" s="417">
        <f t="shared" si="36"/>
        <v>0</v>
      </c>
      <c r="Q49" s="417">
        <f t="shared" si="36"/>
        <v>0</v>
      </c>
      <c r="R49" s="417">
        <f t="shared" si="36"/>
        <v>0</v>
      </c>
      <c r="S49" s="417">
        <f t="shared" si="36"/>
        <v>0</v>
      </c>
      <c r="T49" s="417">
        <f t="shared" si="36"/>
        <v>0</v>
      </c>
      <c r="U49" s="417">
        <f t="shared" si="36"/>
        <v>0</v>
      </c>
      <c r="V49" s="417">
        <f t="shared" si="36"/>
        <v>0</v>
      </c>
      <c r="W49" s="417">
        <f t="shared" si="36"/>
        <v>0</v>
      </c>
      <c r="X49" s="417">
        <f t="shared" si="36"/>
        <v>0</v>
      </c>
      <c r="Y49" s="417">
        <f t="shared" si="36"/>
        <v>0</v>
      </c>
      <c r="Z49" s="417">
        <f t="shared" si="36"/>
        <v>0</v>
      </c>
      <c r="AA49" s="417">
        <f t="shared" si="36"/>
        <v>0</v>
      </c>
      <c r="AB49" s="417">
        <f t="shared" si="36"/>
        <v>0</v>
      </c>
      <c r="AC49" s="417">
        <f t="shared" si="36"/>
        <v>0</v>
      </c>
      <c r="AD49" s="417">
        <f t="shared" si="36"/>
        <v>0</v>
      </c>
      <c r="AE49" s="417">
        <f t="shared" si="36"/>
        <v>0</v>
      </c>
      <c r="AF49" s="417">
        <f t="shared" si="36"/>
        <v>0</v>
      </c>
      <c r="AG49" s="417">
        <f t="shared" si="36"/>
        <v>0</v>
      </c>
      <c r="AH49" s="418">
        <f t="shared" si="28"/>
        <v>0</v>
      </c>
      <c r="AI49" s="170"/>
      <c r="AJ49" s="170"/>
      <c r="AK49" s="12"/>
    </row>
    <row r="50" spans="2:37" ht="15" thickBot="1" x14ac:dyDescent="0.35">
      <c r="B50" s="15"/>
      <c r="C50" s="129">
        <f t="shared" si="26"/>
        <v>9</v>
      </c>
      <c r="D50" s="422">
        <f>V19</f>
        <v>0</v>
      </c>
      <c r="E50" s="425"/>
      <c r="F50" s="425"/>
      <c r="G50" s="422">
        <f t="shared" si="29"/>
        <v>0</v>
      </c>
      <c r="H50" s="426"/>
      <c r="I50" s="417">
        <f t="shared" ref="I50:AG50" si="37">IF($H19&gt;=25,$G50,IF(I$41&lt;=$H19,$G50,IF(I$41&lt;=($H19*($AD19+1)),$G50,0)))</f>
        <v>0</v>
      </c>
      <c r="J50" s="417">
        <f t="shared" si="37"/>
        <v>0</v>
      </c>
      <c r="K50" s="417">
        <f t="shared" si="37"/>
        <v>0</v>
      </c>
      <c r="L50" s="417">
        <f t="shared" si="37"/>
        <v>0</v>
      </c>
      <c r="M50" s="417">
        <f t="shared" si="37"/>
        <v>0</v>
      </c>
      <c r="N50" s="417">
        <f t="shared" si="37"/>
        <v>0</v>
      </c>
      <c r="O50" s="417">
        <f t="shared" si="37"/>
        <v>0</v>
      </c>
      <c r="P50" s="417">
        <f t="shared" si="37"/>
        <v>0</v>
      </c>
      <c r="Q50" s="417">
        <f t="shared" si="37"/>
        <v>0</v>
      </c>
      <c r="R50" s="417">
        <f t="shared" si="37"/>
        <v>0</v>
      </c>
      <c r="S50" s="417">
        <f t="shared" si="37"/>
        <v>0</v>
      </c>
      <c r="T50" s="417">
        <f t="shared" si="37"/>
        <v>0</v>
      </c>
      <c r="U50" s="417">
        <f t="shared" si="37"/>
        <v>0</v>
      </c>
      <c r="V50" s="417">
        <f t="shared" si="37"/>
        <v>0</v>
      </c>
      <c r="W50" s="417">
        <f t="shared" si="37"/>
        <v>0</v>
      </c>
      <c r="X50" s="417">
        <f t="shared" si="37"/>
        <v>0</v>
      </c>
      <c r="Y50" s="417">
        <f t="shared" si="37"/>
        <v>0</v>
      </c>
      <c r="Z50" s="417">
        <f t="shared" si="37"/>
        <v>0</v>
      </c>
      <c r="AA50" s="417">
        <f t="shared" si="37"/>
        <v>0</v>
      </c>
      <c r="AB50" s="417">
        <f t="shared" si="37"/>
        <v>0</v>
      </c>
      <c r="AC50" s="417">
        <f t="shared" si="37"/>
        <v>0</v>
      </c>
      <c r="AD50" s="417">
        <f t="shared" si="37"/>
        <v>0</v>
      </c>
      <c r="AE50" s="417">
        <f t="shared" si="37"/>
        <v>0</v>
      </c>
      <c r="AF50" s="417">
        <f t="shared" si="37"/>
        <v>0</v>
      </c>
      <c r="AG50" s="417">
        <f t="shared" si="37"/>
        <v>0</v>
      </c>
      <c r="AH50" s="418">
        <f t="shared" si="28"/>
        <v>0</v>
      </c>
      <c r="AI50" s="170"/>
      <c r="AJ50" s="170"/>
      <c r="AK50" s="12"/>
    </row>
    <row r="51" spans="2:37" ht="15.75" customHeight="1" thickBot="1" x14ac:dyDescent="0.35">
      <c r="B51" s="15"/>
      <c r="C51" s="129">
        <f t="shared" si="26"/>
        <v>10</v>
      </c>
      <c r="D51" s="422">
        <f>V20</f>
        <v>0</v>
      </c>
      <c r="E51" s="425"/>
      <c r="F51" s="425"/>
      <c r="G51" s="422">
        <f t="shared" si="29"/>
        <v>0</v>
      </c>
      <c r="H51" s="426"/>
      <c r="I51" s="417">
        <f t="shared" ref="I51:AG51" si="38">IF($H20&gt;=25,$G51,IF(I$41&lt;=$H20,$G51,IF(I$41&lt;=($H20*($AD20+1)),$G51,0)))</f>
        <v>0</v>
      </c>
      <c r="J51" s="417">
        <f t="shared" si="38"/>
        <v>0</v>
      </c>
      <c r="K51" s="417">
        <f t="shared" si="38"/>
        <v>0</v>
      </c>
      <c r="L51" s="417">
        <f t="shared" si="38"/>
        <v>0</v>
      </c>
      <c r="M51" s="417">
        <f t="shared" si="38"/>
        <v>0</v>
      </c>
      <c r="N51" s="417">
        <f t="shared" si="38"/>
        <v>0</v>
      </c>
      <c r="O51" s="417">
        <f t="shared" si="38"/>
        <v>0</v>
      </c>
      <c r="P51" s="417">
        <f t="shared" si="38"/>
        <v>0</v>
      </c>
      <c r="Q51" s="417">
        <f t="shared" si="38"/>
        <v>0</v>
      </c>
      <c r="R51" s="417">
        <f t="shared" si="38"/>
        <v>0</v>
      </c>
      <c r="S51" s="417">
        <f t="shared" si="38"/>
        <v>0</v>
      </c>
      <c r="T51" s="417">
        <f t="shared" si="38"/>
        <v>0</v>
      </c>
      <c r="U51" s="417">
        <f t="shared" si="38"/>
        <v>0</v>
      </c>
      <c r="V51" s="417">
        <f t="shared" si="38"/>
        <v>0</v>
      </c>
      <c r="W51" s="417">
        <f t="shared" si="38"/>
        <v>0</v>
      </c>
      <c r="X51" s="417">
        <f t="shared" si="38"/>
        <v>0</v>
      </c>
      <c r="Y51" s="417">
        <f t="shared" si="38"/>
        <v>0</v>
      </c>
      <c r="Z51" s="417">
        <f t="shared" si="38"/>
        <v>0</v>
      </c>
      <c r="AA51" s="417">
        <f t="shared" si="38"/>
        <v>0</v>
      </c>
      <c r="AB51" s="417">
        <f t="shared" si="38"/>
        <v>0</v>
      </c>
      <c r="AC51" s="417">
        <f t="shared" si="38"/>
        <v>0</v>
      </c>
      <c r="AD51" s="417">
        <f t="shared" si="38"/>
        <v>0</v>
      </c>
      <c r="AE51" s="417">
        <f t="shared" si="38"/>
        <v>0</v>
      </c>
      <c r="AF51" s="417">
        <f t="shared" si="38"/>
        <v>0</v>
      </c>
      <c r="AG51" s="417">
        <f t="shared" si="38"/>
        <v>0</v>
      </c>
      <c r="AH51" s="419">
        <f>SUM(O51:AG51)</f>
        <v>0</v>
      </c>
      <c r="AI51" s="170"/>
      <c r="AJ51" s="170"/>
      <c r="AK51" s="12"/>
    </row>
    <row r="52" spans="2:37" ht="15" thickBot="1" x14ac:dyDescent="0.35">
      <c r="B52" s="15"/>
      <c r="C52" s="131"/>
      <c r="D52" s="423"/>
      <c r="E52" s="423"/>
      <c r="F52" s="423"/>
      <c r="G52" s="424"/>
      <c r="H52" s="427" t="s">
        <v>54</v>
      </c>
      <c r="I52" s="420">
        <f t="shared" ref="I52:AG52" si="39">SUM(I42:I51)</f>
        <v>0</v>
      </c>
      <c r="J52" s="420">
        <f t="shared" si="39"/>
        <v>0</v>
      </c>
      <c r="K52" s="420">
        <f t="shared" si="39"/>
        <v>0</v>
      </c>
      <c r="L52" s="420">
        <f t="shared" si="39"/>
        <v>0</v>
      </c>
      <c r="M52" s="420">
        <f t="shared" si="39"/>
        <v>0</v>
      </c>
      <c r="N52" s="420">
        <f t="shared" si="39"/>
        <v>0</v>
      </c>
      <c r="O52" s="420">
        <f t="shared" si="39"/>
        <v>0</v>
      </c>
      <c r="P52" s="420">
        <f t="shared" si="39"/>
        <v>0</v>
      </c>
      <c r="Q52" s="420">
        <f t="shared" si="39"/>
        <v>0</v>
      </c>
      <c r="R52" s="420">
        <f t="shared" si="39"/>
        <v>0</v>
      </c>
      <c r="S52" s="420">
        <f t="shared" si="39"/>
        <v>0</v>
      </c>
      <c r="T52" s="420">
        <f t="shared" si="39"/>
        <v>0</v>
      </c>
      <c r="U52" s="420">
        <f t="shared" si="39"/>
        <v>0</v>
      </c>
      <c r="V52" s="420">
        <f t="shared" si="39"/>
        <v>0</v>
      </c>
      <c r="W52" s="420">
        <f t="shared" si="39"/>
        <v>0</v>
      </c>
      <c r="X52" s="420">
        <f t="shared" si="39"/>
        <v>0</v>
      </c>
      <c r="Y52" s="420">
        <f t="shared" si="39"/>
        <v>0</v>
      </c>
      <c r="Z52" s="420">
        <f t="shared" si="39"/>
        <v>0</v>
      </c>
      <c r="AA52" s="420">
        <f t="shared" si="39"/>
        <v>0</v>
      </c>
      <c r="AB52" s="420">
        <f t="shared" si="39"/>
        <v>0</v>
      </c>
      <c r="AC52" s="420">
        <f t="shared" si="39"/>
        <v>0</v>
      </c>
      <c r="AD52" s="420">
        <f t="shared" si="39"/>
        <v>0</v>
      </c>
      <c r="AE52" s="420">
        <f t="shared" si="39"/>
        <v>0</v>
      </c>
      <c r="AF52" s="420">
        <f t="shared" si="39"/>
        <v>0</v>
      </c>
      <c r="AG52" s="420">
        <f t="shared" si="39"/>
        <v>0</v>
      </c>
      <c r="AH52" s="421">
        <f>SUM(AH42:AH51)</f>
        <v>0</v>
      </c>
      <c r="AI52" s="170"/>
      <c r="AJ52" s="170"/>
      <c r="AK52" s="12"/>
    </row>
    <row r="53" spans="2:37" ht="24.75" customHeight="1" thickBot="1" x14ac:dyDescent="0.35">
      <c r="B53" s="15"/>
      <c r="C53" s="133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5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7"/>
      <c r="AI53" s="170"/>
      <c r="AJ53" s="170"/>
      <c r="AK53" s="12"/>
    </row>
    <row r="54" spans="2:37" ht="24.75" customHeight="1" x14ac:dyDescent="0.3">
      <c r="B54" s="15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70"/>
      <c r="AJ54" s="170"/>
      <c r="AK54" s="12"/>
    </row>
    <row r="55" spans="2:37" x14ac:dyDescent="0.3">
      <c r="B55" s="15"/>
      <c r="C55" s="2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70"/>
      <c r="AJ55" s="170"/>
      <c r="AK55" s="12"/>
    </row>
    <row r="56" spans="2:37" x14ac:dyDescent="0.3">
      <c r="B56" s="15"/>
      <c r="C56" s="2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70"/>
      <c r="AJ56" s="170"/>
      <c r="AK56" s="12"/>
    </row>
    <row r="57" spans="2:37" ht="15" thickBot="1" x14ac:dyDescent="0.35">
      <c r="B57" s="139"/>
      <c r="C57" s="14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</row>
    <row r="58" spans="2:37" x14ac:dyDescent="0.3">
      <c r="Z58" s="3"/>
      <c r="AA58" s="3"/>
      <c r="AJ58" s="76"/>
    </row>
    <row r="59" spans="2:37" x14ac:dyDescent="0.3">
      <c r="Z59" s="3"/>
      <c r="AA59" s="3"/>
      <c r="AJ59" s="76"/>
    </row>
    <row r="60" spans="2:37" x14ac:dyDescent="0.3">
      <c r="AJ60" s="76"/>
    </row>
    <row r="61" spans="2:37" x14ac:dyDescent="0.3">
      <c r="AJ61" s="76"/>
    </row>
    <row r="62" spans="2:37" x14ac:dyDescent="0.3">
      <c r="AJ62" s="76"/>
    </row>
    <row r="63" spans="2:37" x14ac:dyDescent="0.3">
      <c r="AJ63" s="76"/>
    </row>
    <row r="64" spans="2:37" x14ac:dyDescent="0.3">
      <c r="AJ64" s="76"/>
    </row>
    <row r="65" spans="36:36" x14ac:dyDescent="0.3">
      <c r="AJ65" s="76"/>
    </row>
    <row r="66" spans="36:36" x14ac:dyDescent="0.3">
      <c r="AJ66" s="76"/>
    </row>
    <row r="67" spans="36:36" x14ac:dyDescent="0.3">
      <c r="AJ67" s="76"/>
    </row>
    <row r="68" spans="36:36" x14ac:dyDescent="0.3">
      <c r="AJ68" s="76"/>
    </row>
    <row r="69" spans="36:36" x14ac:dyDescent="0.3">
      <c r="AJ69" s="76"/>
    </row>
    <row r="70" spans="36:36" x14ac:dyDescent="0.3">
      <c r="AJ70" s="76"/>
    </row>
    <row r="71" spans="36:36" x14ac:dyDescent="0.3">
      <c r="AJ71" s="76"/>
    </row>
    <row r="72" spans="36:36" x14ac:dyDescent="0.3">
      <c r="AJ72" s="76"/>
    </row>
    <row r="73" spans="36:36" x14ac:dyDescent="0.3">
      <c r="AJ73" s="76"/>
    </row>
    <row r="74" spans="36:36" x14ac:dyDescent="0.3">
      <c r="AJ74" s="76"/>
    </row>
    <row r="75" spans="36:36" x14ac:dyDescent="0.3">
      <c r="AJ75" s="76"/>
    </row>
    <row r="76" spans="36:36" x14ac:dyDescent="0.3">
      <c r="AJ76" s="76"/>
    </row>
    <row r="77" spans="36:36" x14ac:dyDescent="0.3">
      <c r="AJ77" s="76"/>
    </row>
    <row r="78" spans="36:36" x14ac:dyDescent="0.3">
      <c r="AJ78" s="76"/>
    </row>
    <row r="79" spans="36:36" x14ac:dyDescent="0.3">
      <c r="AJ79" s="76"/>
    </row>
    <row r="80" spans="36:36" x14ac:dyDescent="0.3">
      <c r="AJ80" s="76"/>
    </row>
    <row r="81" spans="36:36" x14ac:dyDescent="0.3">
      <c r="AJ81" s="76"/>
    </row>
    <row r="82" spans="36:36" x14ac:dyDescent="0.3">
      <c r="AJ82" s="76"/>
    </row>
    <row r="83" spans="36:36" x14ac:dyDescent="0.3">
      <c r="AJ83" s="76"/>
    </row>
    <row r="84" spans="36:36" x14ac:dyDescent="0.3">
      <c r="AJ84" s="76"/>
    </row>
    <row r="85" spans="36:36" x14ac:dyDescent="0.3">
      <c r="AJ85" s="76"/>
    </row>
    <row r="86" spans="36:36" x14ac:dyDescent="0.3">
      <c r="AJ86" s="76"/>
    </row>
    <row r="87" spans="36:36" x14ac:dyDescent="0.3">
      <c r="AJ87" s="76"/>
    </row>
    <row r="88" spans="36:36" x14ac:dyDescent="0.3">
      <c r="AJ88" s="76"/>
    </row>
    <row r="89" spans="36:36" x14ac:dyDescent="0.3">
      <c r="AJ89" s="76"/>
    </row>
    <row r="90" spans="36:36" x14ac:dyDescent="0.3">
      <c r="AJ90" s="76"/>
    </row>
    <row r="91" spans="36:36" x14ac:dyDescent="0.3">
      <c r="AJ91" s="76"/>
    </row>
    <row r="93" spans="36:36" x14ac:dyDescent="0.3">
      <c r="AJ93" s="76"/>
    </row>
    <row r="95" spans="36:36" x14ac:dyDescent="0.3">
      <c r="AJ95" s="76"/>
    </row>
    <row r="97" spans="36:36" x14ac:dyDescent="0.3">
      <c r="AJ97" s="76"/>
    </row>
    <row r="99" spans="36:36" x14ac:dyDescent="0.3">
      <c r="AJ99" s="76"/>
    </row>
    <row r="101" spans="36:36" x14ac:dyDescent="0.3">
      <c r="AJ101" s="76"/>
    </row>
    <row r="103" spans="36:36" x14ac:dyDescent="0.3">
      <c r="AJ103" s="76"/>
    </row>
    <row r="105" spans="36:36" x14ac:dyDescent="0.3">
      <c r="AJ105" s="76"/>
    </row>
    <row r="106" spans="36:36" x14ac:dyDescent="0.3">
      <c r="AJ106" s="3">
        <v>76</v>
      </c>
    </row>
    <row r="107" spans="36:36" x14ac:dyDescent="0.3">
      <c r="AJ107" s="76">
        <v>77</v>
      </c>
    </row>
    <row r="108" spans="36:36" x14ac:dyDescent="0.3">
      <c r="AJ108" s="3">
        <v>78</v>
      </c>
    </row>
  </sheetData>
  <sheetProtection algorithmName="SHA-512" hashValue="9UQjdyu3dtOI/+dqku+mXzskC0tbRxwDGXh22k6ZJ3b+ap+E8VQzvaJhYTB8V76qAb4oJoMuo5MMBTZFRB1bAQ==" saltValue="eN+u9wXxKr9e8Of/VNkxNA==" spinCount="100000" sheet="1" objects="1" scenarios="1" insertRows="0" selectLockedCells="1"/>
  <protectedRanges>
    <protectedRange sqref="I10:M14 Q10:U14 Q16:U20 AB10:AD14 AB16:AD20 AF10:AG14 AF16:AG20 D10:G14 D16:M20" name="Folha7.ii"/>
  </protectedRanges>
  <mergeCells count="25">
    <mergeCell ref="C22:D22"/>
    <mergeCell ref="C15:D15"/>
    <mergeCell ref="J10:M14"/>
    <mergeCell ref="J16:M20"/>
    <mergeCell ref="J21:M21"/>
    <mergeCell ref="G28:H28"/>
    <mergeCell ref="G41:H41"/>
    <mergeCell ref="C24:D24"/>
    <mergeCell ref="C23:D23"/>
    <mergeCell ref="I26:AH26"/>
    <mergeCell ref="I27:AG27"/>
    <mergeCell ref="R10:U14"/>
    <mergeCell ref="R16:U20"/>
    <mergeCell ref="AF6:AJ6"/>
    <mergeCell ref="C3:E3"/>
    <mergeCell ref="C4:H4"/>
    <mergeCell ref="C5:E5"/>
    <mergeCell ref="C9:D9"/>
    <mergeCell ref="I6:P6"/>
    <mergeCell ref="I7:N7"/>
    <mergeCell ref="Q6:AE6"/>
    <mergeCell ref="Q7:V7"/>
    <mergeCell ref="Y7:Z7"/>
    <mergeCell ref="J8:M8"/>
    <mergeCell ref="R8:U8"/>
  </mergeCells>
  <pageMargins left="0.7" right="0.7" top="0.75" bottom="0.75" header="0.3" footer="0.3"/>
  <pageSetup paperSize="9" orientation="portrait" r:id="rId1"/>
  <ignoredErrors>
    <ignoredError sqref="N16:P2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'16. Fatores de conversão'!$M$2:$M$3</xm:f>
          </x14:formula1>
          <xm:sqref>E10:E14 E16:E20</xm:sqref>
        </x14:dataValidation>
        <x14:dataValidation type="list" allowBlank="1" showInputMessage="1" showErrorMessage="1">
          <x14:formula1>
            <xm:f>'15. Valores-Padrão'!$C$42:$C$44</xm:f>
          </x14:formula1>
          <xm:sqref>F10:F14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20</vt:i4>
      </vt:variant>
      <vt:variant>
        <vt:lpstr>Intervalos com nome</vt:lpstr>
      </vt:variant>
      <vt:variant>
        <vt:i4>3</vt:i4>
      </vt:variant>
    </vt:vector>
  </HeadingPairs>
  <TitlesOfParts>
    <vt:vector size="23" baseType="lpstr">
      <vt:lpstr>0.Ajuda</vt:lpstr>
      <vt:lpstr>1. Identificação Ben. Oper.</vt:lpstr>
      <vt:lpstr>2. Medidas a).i)</vt:lpstr>
      <vt:lpstr>3. Medidas a).ii)</vt:lpstr>
      <vt:lpstr>4. Medidas a).iii) Sistemas</vt:lpstr>
      <vt:lpstr>5. Medidas a).iii) Iluminação</vt:lpstr>
      <vt:lpstr>6. Medidas a).iv)</vt:lpstr>
      <vt:lpstr>7. Medidas b).i)</vt:lpstr>
      <vt:lpstr>8. Medidas b).ii)</vt:lpstr>
      <vt:lpstr>9. Medidas c)</vt:lpstr>
      <vt:lpstr>10. Medidas d)</vt:lpstr>
      <vt:lpstr>11. Outras despesas art. 7º</vt:lpstr>
      <vt:lpstr>12.1 Apoio reembolsável</vt:lpstr>
      <vt:lpstr>12.2 Apoio não reembolsável</vt:lpstr>
      <vt:lpstr>13. Indicadores</vt:lpstr>
      <vt:lpstr>14. VAL Global até 25 anos</vt:lpstr>
      <vt:lpstr>15. Valores-Padrão</vt:lpstr>
      <vt:lpstr>16. Fatores de conversão</vt:lpstr>
      <vt:lpstr>Mérito Projeto Edifício</vt:lpstr>
      <vt:lpstr>Mérito Projeto IP</vt:lpstr>
      <vt:lpstr>'Mérito Projeto Edifício'!Área_de_Impressão</vt:lpstr>
      <vt:lpstr>POR_Centro</vt:lpstr>
      <vt:lpstr>Taxas_NãoReemb_Superior1M€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lurdes.manso</cp:lastModifiedBy>
  <cp:lastPrinted>2018-05-21T08:26:19Z</cp:lastPrinted>
  <dcterms:created xsi:type="dcterms:W3CDTF">2016-05-18T21:16:05Z</dcterms:created>
  <dcterms:modified xsi:type="dcterms:W3CDTF">2018-06-14T09:07:34Z</dcterms:modified>
</cp:coreProperties>
</file>